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80" yWindow="-60" windowWidth="12120" windowHeight="4635" tabRatio="816" activeTab="1"/>
  </bookViews>
  <sheets>
    <sheet name="เป้าหมาย" sheetId="15" r:id="rId1"/>
    <sheet name="ข้อมูลฐาน" sheetId="24" r:id="rId2"/>
    <sheet name="ป1-สนอ." sheetId="27" r:id="rId3"/>
    <sheet name="ป1-สน.วิท" sheetId="37" r:id="rId4"/>
    <sheet name="ป1-สน.คอม" sheetId="36" r:id="rId5"/>
    <sheet name="ป 2" sheetId="25" r:id="rId6"/>
    <sheet name="ป 3" sheetId="29" r:id="rId7"/>
    <sheet name="ป 4" sheetId="30" r:id="rId8"/>
    <sheet name="ป5" sheetId="31" r:id="rId9"/>
    <sheet name="ป 2-1" sheetId="32" r:id="rId10"/>
    <sheet name="ป 3-1" sheetId="33" r:id="rId11"/>
    <sheet name="ป 4-1" sheetId="34" r:id="rId12"/>
    <sheet name="ป 5-1" sheetId="35" r:id="rId13"/>
  </sheets>
  <definedNames>
    <definedName name="_xlnm.Print_Titles" localSheetId="1">ข้อมูลฐาน!$3:$4</definedName>
    <definedName name="_xlnm.Print_Titles" localSheetId="2">'ป1-สนอ.'!$8:$11</definedName>
    <definedName name="_xlnm.Print_Titles" localSheetId="0">เป้าหมาย!$3:$4</definedName>
  </definedNames>
  <calcPr calcId="125725"/>
</workbook>
</file>

<file path=xl/calcChain.xml><?xml version="1.0" encoding="utf-8"?>
<calcChain xmlns="http://schemas.openxmlformats.org/spreadsheetml/2006/main">
  <c r="G77" i="24"/>
  <c r="E77"/>
  <c r="C77"/>
  <c r="G148"/>
  <c r="F44"/>
  <c r="F40"/>
  <c r="H101" l="1"/>
  <c r="F101"/>
  <c r="D101"/>
  <c r="G186" l="1"/>
  <c r="G187" s="1"/>
  <c r="G185" s="1"/>
  <c r="G176"/>
  <c r="G177" s="1"/>
  <c r="G175" s="1"/>
  <c r="G174"/>
  <c r="G166"/>
  <c r="G167" s="1"/>
  <c r="G165"/>
  <c r="G157"/>
  <c r="G158" s="1"/>
  <c r="G156"/>
  <c r="G149"/>
  <c r="G147"/>
  <c r="G145"/>
  <c r="G125"/>
  <c r="G143" s="1"/>
  <c r="G123"/>
  <c r="G101"/>
  <c r="G102" s="1"/>
  <c r="G95"/>
  <c r="G94"/>
  <c r="G87"/>
  <c r="G88" s="1"/>
  <c r="G78"/>
  <c r="G79" s="1"/>
  <c r="G70"/>
  <c r="G71" s="1"/>
  <c r="G69"/>
  <c r="G61"/>
  <c r="G62" s="1"/>
  <c r="G51"/>
  <c r="G52" s="1"/>
  <c r="G7"/>
  <c r="G6"/>
  <c r="E186"/>
  <c r="E187" s="1"/>
  <c r="E185" s="1"/>
  <c r="E176"/>
  <c r="E177" s="1"/>
  <c r="E175" s="1"/>
  <c r="E125"/>
  <c r="E141" s="1"/>
  <c r="E123"/>
  <c r="E101"/>
  <c r="E102" s="1"/>
  <c r="E94"/>
  <c r="E95" s="1"/>
  <c r="E87"/>
  <c r="E88" s="1"/>
  <c r="E78"/>
  <c r="E79" s="1"/>
  <c r="E49"/>
  <c r="E44"/>
  <c r="E34"/>
  <c r="E35" s="1"/>
  <c r="E33"/>
  <c r="E28"/>
  <c r="E29" s="1"/>
  <c r="E6"/>
  <c r="E7" s="1"/>
  <c r="C186"/>
  <c r="C187" s="1"/>
  <c r="C185" s="1"/>
  <c r="C176"/>
  <c r="C177" s="1"/>
  <c r="C175" s="1"/>
  <c r="C136"/>
  <c r="C137" s="1"/>
  <c r="C126"/>
  <c r="C125"/>
  <c r="C123"/>
  <c r="C101"/>
  <c r="C102" s="1"/>
  <c r="C94"/>
  <c r="C95" s="1"/>
  <c r="C87"/>
  <c r="C88" s="1"/>
  <c r="C78"/>
  <c r="C79" s="1"/>
  <c r="C23"/>
  <c r="C24" s="1"/>
  <c r="C19"/>
  <c r="C20" s="1"/>
  <c r="C18"/>
  <c r="C6"/>
  <c r="C7" s="1"/>
  <c r="E126" l="1"/>
  <c r="E197"/>
  <c r="E38"/>
  <c r="E39" s="1"/>
  <c r="C197"/>
  <c r="E5"/>
  <c r="G5"/>
  <c r="C5"/>
  <c r="G126"/>
  <c r="D78"/>
  <c r="G197" l="1"/>
  <c r="E22" i="15"/>
  <c r="D22"/>
  <c r="C22"/>
  <c r="B34"/>
  <c r="B32"/>
  <c r="B28"/>
  <c r="B22"/>
  <c r="E5"/>
  <c r="D5"/>
  <c r="C5"/>
  <c r="B5"/>
  <c r="B17"/>
  <c r="B11"/>
  <c r="B7"/>
  <c r="H174" i="24"/>
  <c r="H165"/>
  <c r="H156"/>
  <c r="H147"/>
  <c r="H145"/>
  <c r="H102"/>
  <c r="F102"/>
  <c r="H69"/>
  <c r="F49"/>
  <c r="F34"/>
  <c r="F35" s="1"/>
  <c r="F33"/>
  <c r="F38" l="1"/>
  <c r="F39" s="1"/>
  <c r="D18" l="1"/>
  <c r="H123" l="1"/>
  <c r="F123"/>
  <c r="D123"/>
  <c r="H51"/>
  <c r="H52" s="1"/>
  <c r="B136" l="1"/>
  <c r="H166"/>
  <c r="H167" s="1"/>
  <c r="H157"/>
  <c r="H158" s="1"/>
  <c r="H148"/>
  <c r="H149" s="1"/>
  <c r="D136"/>
  <c r="D137" s="1"/>
  <c r="F28"/>
  <c r="F29" s="1"/>
  <c r="H61"/>
  <c r="H62" s="1"/>
  <c r="H70"/>
  <c r="H71" s="1"/>
  <c r="B173"/>
  <c r="B157"/>
  <c r="B164"/>
  <c r="B166"/>
  <c r="B144"/>
  <c r="B146"/>
  <c r="B148"/>
  <c r="B155"/>
  <c r="B143"/>
  <c r="B141"/>
  <c r="B61"/>
  <c r="B68"/>
  <c r="B70"/>
  <c r="B51"/>
  <c r="B32"/>
  <c r="B34"/>
  <c r="B38"/>
  <c r="B48"/>
  <c r="B28"/>
  <c r="B17"/>
  <c r="H186" l="1"/>
  <c r="H187" s="1"/>
  <c r="H185" s="1"/>
  <c r="F186"/>
  <c r="F187" s="1"/>
  <c r="F185" s="1"/>
  <c r="H176"/>
  <c r="H177" s="1"/>
  <c r="H175" s="1"/>
  <c r="F176"/>
  <c r="F177" s="1"/>
  <c r="F175" s="1"/>
  <c r="H125"/>
  <c r="F125"/>
  <c r="H94"/>
  <c r="H95" s="1"/>
  <c r="F94"/>
  <c r="F95" s="1"/>
  <c r="H87"/>
  <c r="H88" s="1"/>
  <c r="F87"/>
  <c r="F88" s="1"/>
  <c r="H78"/>
  <c r="H79" s="1"/>
  <c r="F78"/>
  <c r="F79" s="1"/>
  <c r="H6"/>
  <c r="H7" s="1"/>
  <c r="F6"/>
  <c r="F7" s="1"/>
  <c r="F74" i="36"/>
  <c r="F73"/>
  <c r="F71"/>
  <c r="F69"/>
  <c r="C64"/>
  <c r="A62"/>
  <c r="C60"/>
  <c r="A58"/>
  <c r="D57"/>
  <c r="B57"/>
  <c r="D56"/>
  <c r="C56"/>
  <c r="B56"/>
  <c r="B55"/>
  <c r="D53"/>
  <c r="C53"/>
  <c r="B53"/>
  <c r="C51"/>
  <c r="D50"/>
  <c r="F50" s="1"/>
  <c r="F67" s="1"/>
  <c r="C50"/>
  <c r="D49"/>
  <c r="C46"/>
  <c r="C44"/>
  <c r="C42"/>
  <c r="C40"/>
  <c r="A35"/>
  <c r="D25"/>
  <c r="B25"/>
  <c r="D24"/>
  <c r="C24"/>
  <c r="B24"/>
  <c r="B23"/>
  <c r="D22"/>
  <c r="B22"/>
  <c r="D21"/>
  <c r="C21"/>
  <c r="B21"/>
  <c r="B20"/>
  <c r="D19"/>
  <c r="F19" s="1"/>
  <c r="B19"/>
  <c r="B18"/>
  <c r="C16"/>
  <c r="A12"/>
  <c r="D8"/>
  <c r="F74" i="37"/>
  <c r="F73"/>
  <c r="F71"/>
  <c r="F69"/>
  <c r="C64"/>
  <c r="A62"/>
  <c r="C60"/>
  <c r="A58"/>
  <c r="D57"/>
  <c r="B57"/>
  <c r="D56"/>
  <c r="C56"/>
  <c r="B56"/>
  <c r="B55"/>
  <c r="D53"/>
  <c r="F53" s="1"/>
  <c r="C53"/>
  <c r="B53"/>
  <c r="C51"/>
  <c r="D50"/>
  <c r="F50" s="1"/>
  <c r="C50"/>
  <c r="D49"/>
  <c r="C46"/>
  <c r="C44"/>
  <c r="C42"/>
  <c r="C40"/>
  <c r="A35"/>
  <c r="D25"/>
  <c r="B25"/>
  <c r="D24"/>
  <c r="C24"/>
  <c r="B24"/>
  <c r="B23"/>
  <c r="D22"/>
  <c r="B22"/>
  <c r="D21"/>
  <c r="C21"/>
  <c r="B21"/>
  <c r="B20"/>
  <c r="D19"/>
  <c r="G19" s="1"/>
  <c r="B19"/>
  <c r="B18"/>
  <c r="C16"/>
  <c r="A12"/>
  <c r="D8"/>
  <c r="F141" i="24" l="1"/>
  <c r="F126"/>
  <c r="F77"/>
  <c r="H143"/>
  <c r="H126"/>
  <c r="H77"/>
  <c r="H197"/>
  <c r="H5"/>
  <c r="F197"/>
  <c r="F5"/>
  <c r="E24" i="37"/>
  <c r="F24" s="1"/>
  <c r="G53"/>
  <c r="E24" i="36"/>
  <c r="F24" s="1"/>
  <c r="G53"/>
  <c r="G50"/>
  <c r="G19"/>
  <c r="E21"/>
  <c r="G21" s="1"/>
  <c r="E21" i="37"/>
  <c r="G21" s="1"/>
  <c r="E56"/>
  <c r="F56" s="1"/>
  <c r="E56" i="36"/>
  <c r="G56" s="1"/>
  <c r="F37"/>
  <c r="F53"/>
  <c r="F67" i="37"/>
  <c r="F37"/>
  <c r="G50"/>
  <c r="F19"/>
  <c r="U25" i="35"/>
  <c r="Q25"/>
  <c r="U24"/>
  <c r="Q24"/>
  <c r="A24"/>
  <c r="A25"/>
  <c r="U18" i="34"/>
  <c r="Q18"/>
  <c r="U17"/>
  <c r="Q17"/>
  <c r="A17"/>
  <c r="A18"/>
  <c r="U18" i="33"/>
  <c r="Q18"/>
  <c r="U17"/>
  <c r="Q17"/>
  <c r="A17"/>
  <c r="A18"/>
  <c r="T23" i="32"/>
  <c r="B23"/>
  <c r="C23"/>
  <c r="U22"/>
  <c r="U21"/>
  <c r="A21"/>
  <c r="A22"/>
  <c r="A35" i="27"/>
  <c r="C24"/>
  <c r="C56"/>
  <c r="C53"/>
  <c r="F21" i="37" l="1"/>
  <c r="G24"/>
  <c r="F56" i="36"/>
  <c r="F21"/>
  <c r="G24"/>
  <c r="G56" i="37"/>
  <c r="D57" i="27"/>
  <c r="D56"/>
  <c r="D53"/>
  <c r="G53" s="1"/>
  <c r="D25"/>
  <c r="D24"/>
  <c r="B25"/>
  <c r="B24"/>
  <c r="B57"/>
  <c r="B56"/>
  <c r="B55"/>
  <c r="B53"/>
  <c r="B20"/>
  <c r="B134" i="24"/>
  <c r="F14" i="37" l="1"/>
  <c r="F14" i="36"/>
  <c r="E56" i="27"/>
  <c r="F56" s="1"/>
  <c r="E25" i="35" s="1"/>
  <c r="L25" s="1"/>
  <c r="M25" s="1"/>
  <c r="E24" i="27"/>
  <c r="F24" s="1"/>
  <c r="F53"/>
  <c r="D23" i="24"/>
  <c r="D24" s="1"/>
  <c r="G56" i="27" l="1"/>
  <c r="E18" i="34"/>
  <c r="L18" s="1"/>
  <c r="M18" s="1"/>
  <c r="E18" i="33"/>
  <c r="L18" s="1"/>
  <c r="M18" s="1"/>
  <c r="E22" i="32"/>
  <c r="L22" s="1"/>
  <c r="M22" s="1"/>
  <c r="E24" i="35"/>
  <c r="L24" s="1"/>
  <c r="M24" s="1"/>
  <c r="E17" i="33"/>
  <c r="L17" s="1"/>
  <c r="M17" s="1"/>
  <c r="E21" i="32"/>
  <c r="L21" s="1"/>
  <c r="M21" s="1"/>
  <c r="E17" i="34"/>
  <c r="L17" s="1"/>
  <c r="M17" s="1"/>
  <c r="E17" i="35"/>
  <c r="E10" i="32"/>
  <c r="E11" i="34"/>
  <c r="E25" i="33"/>
  <c r="G24" i="27"/>
  <c r="D19"/>
  <c r="D19" i="24"/>
  <c r="D20" s="1"/>
  <c r="B23"/>
  <c r="E10" i="30"/>
  <c r="D10"/>
  <c r="C10"/>
  <c r="B10"/>
  <c r="F21" i="29"/>
  <c r="E21"/>
  <c r="D21"/>
  <c r="C21"/>
  <c r="F10"/>
  <c r="E10"/>
  <c r="D10"/>
  <c r="C10"/>
  <c r="M38" i="35"/>
  <c r="L38"/>
  <c r="K38"/>
  <c r="J38"/>
  <c r="I38"/>
  <c r="H38"/>
  <c r="G38"/>
  <c r="F38"/>
  <c r="E38"/>
  <c r="D38"/>
  <c r="C38"/>
  <c r="A23"/>
  <c r="I23" i="33"/>
  <c r="U16"/>
  <c r="A16" i="34"/>
  <c r="B26" i="33"/>
  <c r="A16"/>
  <c r="C29" i="32"/>
  <c r="S23"/>
  <c r="U20"/>
  <c r="A20"/>
  <c r="C11"/>
  <c r="S11"/>
  <c r="T11"/>
  <c r="U10"/>
  <c r="U9"/>
  <c r="G19" i="27" l="1"/>
  <c r="F19"/>
  <c r="D22"/>
  <c r="D21"/>
  <c r="C21"/>
  <c r="C51"/>
  <c r="B23"/>
  <c r="B22"/>
  <c r="B21"/>
  <c r="B19"/>
  <c r="B18"/>
  <c r="D125" i="24"/>
  <c r="D126" s="1"/>
  <c r="B125"/>
  <c r="B19"/>
  <c r="U16" i="34"/>
  <c r="Q16"/>
  <c r="D8" i="27"/>
  <c r="D51" l="1"/>
  <c r="F51" s="1"/>
  <c r="F38" s="1"/>
  <c r="D51" i="37"/>
  <c r="D51" i="36"/>
  <c r="B51" i="27"/>
  <c r="B51" i="37"/>
  <c r="B51" i="36"/>
  <c r="E21" i="27"/>
  <c r="F21" s="1"/>
  <c r="E15" i="35"/>
  <c r="L15" s="1"/>
  <c r="E9" i="34"/>
  <c r="L9" s="1"/>
  <c r="E23" i="33"/>
  <c r="L23" s="1"/>
  <c r="E8" i="32"/>
  <c r="L8" s="1"/>
  <c r="E16" i="33" l="1"/>
  <c r="K16" s="1"/>
  <c r="M16" s="1"/>
  <c r="E16" i="34"/>
  <c r="K16" s="1"/>
  <c r="F51" i="37"/>
  <c r="G51"/>
  <c r="G51" i="27"/>
  <c r="E23" i="35"/>
  <c r="K23" s="1"/>
  <c r="E20" i="32"/>
  <c r="K20" s="1"/>
  <c r="M20" s="1"/>
  <c r="G51" i="36"/>
  <c r="F51"/>
  <c r="F68" i="27"/>
  <c r="F14"/>
  <c r="E24" i="33"/>
  <c r="L24" s="1"/>
  <c r="M24" s="1"/>
  <c r="E9" i="32"/>
  <c r="L9" s="1"/>
  <c r="M9" s="1"/>
  <c r="E10" i="34"/>
  <c r="L10" s="1"/>
  <c r="M10" s="1"/>
  <c r="E16" i="35"/>
  <c r="L16" s="1"/>
  <c r="M16" s="1"/>
  <c r="L17"/>
  <c r="M17" s="1"/>
  <c r="L11" i="34"/>
  <c r="M11" s="1"/>
  <c r="L25" i="33"/>
  <c r="M25" s="1"/>
  <c r="L10" i="32"/>
  <c r="M8"/>
  <c r="I8"/>
  <c r="Q8"/>
  <c r="U8"/>
  <c r="I9"/>
  <c r="Q9"/>
  <c r="I10"/>
  <c r="Q10"/>
  <c r="B29" i="33"/>
  <c r="C29"/>
  <c r="U17" i="32"/>
  <c r="U18"/>
  <c r="M17"/>
  <c r="M18"/>
  <c r="D50" i="27"/>
  <c r="F50" s="1"/>
  <c r="U23" i="35"/>
  <c r="Q23"/>
  <c r="I23"/>
  <c r="C21" i="33"/>
  <c r="R21"/>
  <c r="J21" s="1"/>
  <c r="S21"/>
  <c r="T21"/>
  <c r="R29" i="32"/>
  <c r="J29" s="1"/>
  <c r="S29"/>
  <c r="T29"/>
  <c r="L29" s="1"/>
  <c r="B29"/>
  <c r="B46" i="15"/>
  <c r="B49" s="1"/>
  <c r="C26" i="32"/>
  <c r="C30" s="1"/>
  <c r="A10"/>
  <c r="A8"/>
  <c r="A5" i="35"/>
  <c r="A6"/>
  <c r="A8"/>
  <c r="A10"/>
  <c r="A11"/>
  <c r="Q11"/>
  <c r="Q12"/>
  <c r="U11"/>
  <c r="U12" s="1"/>
  <c r="B12"/>
  <c r="C12"/>
  <c r="N12"/>
  <c r="F12" s="1"/>
  <c r="O12"/>
  <c r="P12"/>
  <c r="H12" s="1"/>
  <c r="R12"/>
  <c r="S12"/>
  <c r="T12"/>
  <c r="L12" s="1"/>
  <c r="A13"/>
  <c r="A14"/>
  <c r="Q14"/>
  <c r="U14"/>
  <c r="I15"/>
  <c r="Q15"/>
  <c r="U15"/>
  <c r="I16"/>
  <c r="Q16"/>
  <c r="U16"/>
  <c r="I17"/>
  <c r="Q17"/>
  <c r="U17"/>
  <c r="A18"/>
  <c r="Q18"/>
  <c r="U18"/>
  <c r="A19"/>
  <c r="Q19"/>
  <c r="U19"/>
  <c r="A20"/>
  <c r="Q20"/>
  <c r="U20"/>
  <c r="A21"/>
  <c r="Q21"/>
  <c r="U21"/>
  <c r="A22"/>
  <c r="I22"/>
  <c r="Q22"/>
  <c r="U22"/>
  <c r="A26"/>
  <c r="Q26"/>
  <c r="U26"/>
  <c r="C27"/>
  <c r="N27"/>
  <c r="O27"/>
  <c r="P27"/>
  <c r="R27"/>
  <c r="S27"/>
  <c r="T27"/>
  <c r="A28"/>
  <c r="A29"/>
  <c r="A30"/>
  <c r="A32"/>
  <c r="A34"/>
  <c r="A36"/>
  <c r="B38"/>
  <c r="O38"/>
  <c r="P38"/>
  <c r="T38"/>
  <c r="A38"/>
  <c r="A8" i="34"/>
  <c r="Q8"/>
  <c r="U8"/>
  <c r="I9"/>
  <c r="Q9"/>
  <c r="U9"/>
  <c r="I10"/>
  <c r="Q10"/>
  <c r="U10"/>
  <c r="I11"/>
  <c r="Q11"/>
  <c r="U11"/>
  <c r="A12"/>
  <c r="Q12"/>
  <c r="U12"/>
  <c r="A13"/>
  <c r="Q13"/>
  <c r="U13"/>
  <c r="A14"/>
  <c r="Q14"/>
  <c r="U14"/>
  <c r="A15"/>
  <c r="I15"/>
  <c r="Q15"/>
  <c r="U15"/>
  <c r="A19"/>
  <c r="Q19"/>
  <c r="U19"/>
  <c r="C20"/>
  <c r="N20"/>
  <c r="O20"/>
  <c r="P20"/>
  <c r="H20" s="1"/>
  <c r="R20"/>
  <c r="R27" s="1"/>
  <c r="S20"/>
  <c r="T20"/>
  <c r="A22"/>
  <c r="Q22"/>
  <c r="U22"/>
  <c r="B23"/>
  <c r="C23"/>
  <c r="N23"/>
  <c r="O23"/>
  <c r="P23"/>
  <c r="H23" s="1"/>
  <c r="R23"/>
  <c r="S23"/>
  <c r="T23"/>
  <c r="L23" s="1"/>
  <c r="A25"/>
  <c r="Q25"/>
  <c r="U25"/>
  <c r="B26"/>
  <c r="C26"/>
  <c r="N26"/>
  <c r="O26"/>
  <c r="P26"/>
  <c r="H26" s="1"/>
  <c r="R26"/>
  <c r="S26"/>
  <c r="T26"/>
  <c r="T27" s="1"/>
  <c r="A9" i="33"/>
  <c r="Q9"/>
  <c r="U9"/>
  <c r="A10"/>
  <c r="Q10"/>
  <c r="U10"/>
  <c r="A11"/>
  <c r="Q11"/>
  <c r="U11"/>
  <c r="A12"/>
  <c r="Q12"/>
  <c r="U12"/>
  <c r="A13"/>
  <c r="I13"/>
  <c r="M13"/>
  <c r="Q13"/>
  <c r="U13"/>
  <c r="A14"/>
  <c r="I14"/>
  <c r="M14"/>
  <c r="Q14"/>
  <c r="U14"/>
  <c r="A15"/>
  <c r="I15"/>
  <c r="Q15"/>
  <c r="U15"/>
  <c r="A19"/>
  <c r="Q19"/>
  <c r="U19"/>
  <c r="A20"/>
  <c r="Q20"/>
  <c r="U20"/>
  <c r="N21"/>
  <c r="F21" s="1"/>
  <c r="O21"/>
  <c r="P21"/>
  <c r="H21" s="1"/>
  <c r="Q23"/>
  <c r="Q26" s="1"/>
  <c r="U23"/>
  <c r="I24"/>
  <c r="Q24"/>
  <c r="U24"/>
  <c r="I25"/>
  <c r="Q25"/>
  <c r="U25"/>
  <c r="C26"/>
  <c r="C30" s="1"/>
  <c r="N26"/>
  <c r="O26"/>
  <c r="P26"/>
  <c r="H26" s="1"/>
  <c r="R26"/>
  <c r="S26"/>
  <c r="T26"/>
  <c r="A28"/>
  <c r="Q28"/>
  <c r="Q29" s="1"/>
  <c r="U28"/>
  <c r="N29"/>
  <c r="F29" s="1"/>
  <c r="O29"/>
  <c r="P29"/>
  <c r="H29" s="1"/>
  <c r="R29"/>
  <c r="J29" s="1"/>
  <c r="S29"/>
  <c r="T29"/>
  <c r="A5" i="32"/>
  <c r="A6"/>
  <c r="Q6"/>
  <c r="U6"/>
  <c r="A7"/>
  <c r="I7"/>
  <c r="M7"/>
  <c r="Q7"/>
  <c r="U7"/>
  <c r="N11"/>
  <c r="O11"/>
  <c r="P11"/>
  <c r="R11"/>
  <c r="A12"/>
  <c r="A13"/>
  <c r="Q13"/>
  <c r="U13"/>
  <c r="A14"/>
  <c r="Q14"/>
  <c r="U14"/>
  <c r="A15"/>
  <c r="Q15"/>
  <c r="U15"/>
  <c r="A16"/>
  <c r="Q16"/>
  <c r="U16"/>
  <c r="A17"/>
  <c r="I17"/>
  <c r="Q17"/>
  <c r="A18"/>
  <c r="I18"/>
  <c r="Q18"/>
  <c r="A19"/>
  <c r="I19"/>
  <c r="Q19"/>
  <c r="U19"/>
  <c r="N23"/>
  <c r="F23" s="1"/>
  <c r="O23"/>
  <c r="P23"/>
  <c r="H23" s="1"/>
  <c r="R23"/>
  <c r="J23" s="1"/>
  <c r="A24"/>
  <c r="A25"/>
  <c r="Q25"/>
  <c r="Q26" s="1"/>
  <c r="U25"/>
  <c r="U26" s="1"/>
  <c r="B26"/>
  <c r="N26"/>
  <c r="O26"/>
  <c r="P26"/>
  <c r="H26" s="1"/>
  <c r="R26"/>
  <c r="J26" s="1"/>
  <c r="S26"/>
  <c r="S30" s="1"/>
  <c r="T26"/>
  <c r="A27"/>
  <c r="A28"/>
  <c r="Q28"/>
  <c r="Q29" s="1"/>
  <c r="U28"/>
  <c r="U29" s="1"/>
  <c r="N29"/>
  <c r="F29" s="1"/>
  <c r="O29"/>
  <c r="P29"/>
  <c r="H29" s="1"/>
  <c r="A10" i="29"/>
  <c r="A21" s="1"/>
  <c r="A11"/>
  <c r="A22" s="1"/>
  <c r="B12"/>
  <c r="B23" s="1"/>
  <c r="B13"/>
  <c r="B24" s="1"/>
  <c r="A14"/>
  <c r="A25" s="1"/>
  <c r="A10" i="25"/>
  <c r="A20" s="1"/>
  <c r="A11"/>
  <c r="A21" s="1"/>
  <c r="A12"/>
  <c r="A22" s="1"/>
  <c r="A13"/>
  <c r="A23" s="1"/>
  <c r="A12" i="27"/>
  <c r="C16"/>
  <c r="C40"/>
  <c r="C42"/>
  <c r="C44"/>
  <c r="C46"/>
  <c r="D49"/>
  <c r="C50"/>
  <c r="A58"/>
  <c r="C60"/>
  <c r="A62"/>
  <c r="C64"/>
  <c r="D6" i="24"/>
  <c r="D7" s="1"/>
  <c r="D79"/>
  <c r="D87"/>
  <c r="D88" s="1"/>
  <c r="D94"/>
  <c r="D95" s="1"/>
  <c r="D102"/>
  <c r="D176"/>
  <c r="D177" s="1"/>
  <c r="D175" s="1"/>
  <c r="D186"/>
  <c r="D187" s="1"/>
  <c r="D185" s="1"/>
  <c r="B14" i="35"/>
  <c r="B27" s="1"/>
  <c r="B28" s="1"/>
  <c r="B39" s="1"/>
  <c r="A10" i="34"/>
  <c r="B44" i="15"/>
  <c r="A17" i="35"/>
  <c r="A23" i="33"/>
  <c r="F26" i="32"/>
  <c r="Q26" i="34"/>
  <c r="B6" i="32"/>
  <c r="B11" s="1"/>
  <c r="U29" i="33"/>
  <c r="S38" i="35"/>
  <c r="A24" i="33"/>
  <c r="R38" i="35"/>
  <c r="J12"/>
  <c r="B8" i="34"/>
  <c r="B20" s="1"/>
  <c r="B9" i="33"/>
  <c r="B21" s="1"/>
  <c r="M9" i="34"/>
  <c r="M23" i="33"/>
  <c r="M15" i="35"/>
  <c r="F38" i="36" l="1"/>
  <c r="F68"/>
  <c r="F38" i="37"/>
  <c r="F68"/>
  <c r="D77" i="24"/>
  <c r="D197"/>
  <c r="C44" i="15"/>
  <c r="E44"/>
  <c r="D44"/>
  <c r="E46"/>
  <c r="C46"/>
  <c r="D46"/>
  <c r="D5" i="24"/>
  <c r="C2" i="27"/>
  <c r="B1" i="35" s="1"/>
  <c r="D3" s="1"/>
  <c r="C2" i="36"/>
  <c r="D9" s="1"/>
  <c r="C2" i="37"/>
  <c r="D9" s="1"/>
  <c r="D64" i="27"/>
  <c r="G64" s="1"/>
  <c r="D64" i="36"/>
  <c r="D64" i="37"/>
  <c r="D60" i="36"/>
  <c r="D60" i="37"/>
  <c r="D46" i="27"/>
  <c r="G46" s="1"/>
  <c r="D46" i="36"/>
  <c r="D46" i="37"/>
  <c r="D44" i="27"/>
  <c r="F44" s="1"/>
  <c r="D11" i="33" s="1"/>
  <c r="D44" i="37"/>
  <c r="D44" i="36"/>
  <c r="D42" i="27"/>
  <c r="F42" s="1"/>
  <c r="D19" i="35" s="1"/>
  <c r="D42" i="37"/>
  <c r="D42" i="36"/>
  <c r="D40" i="27"/>
  <c r="F40" s="1"/>
  <c r="D40" i="36"/>
  <c r="D40" i="37"/>
  <c r="D16" i="27"/>
  <c r="G16" s="1"/>
  <c r="D16" i="36"/>
  <c r="D16" i="37"/>
  <c r="N30" i="33"/>
  <c r="F30" s="1"/>
  <c r="O27" i="34"/>
  <c r="Q27" i="35"/>
  <c r="Q21" i="33"/>
  <c r="Q30" s="1"/>
  <c r="C28" i="35"/>
  <c r="C39" s="1"/>
  <c r="P30" i="33"/>
  <c r="T28" i="35"/>
  <c r="T39" s="1"/>
  <c r="H30" i="33"/>
  <c r="J27" i="35"/>
  <c r="C27" i="34"/>
  <c r="H27" i="35"/>
  <c r="F27"/>
  <c r="U23" i="32"/>
  <c r="F37" i="27"/>
  <c r="F67"/>
  <c r="M10" i="32"/>
  <c r="D60" i="27"/>
  <c r="G60" s="1"/>
  <c r="G50"/>
  <c r="L11" i="32"/>
  <c r="D20" i="25" s="1"/>
  <c r="B30" i="32"/>
  <c r="L26"/>
  <c r="T30"/>
  <c r="J11"/>
  <c r="R30"/>
  <c r="H11"/>
  <c r="P30"/>
  <c r="F11"/>
  <c r="N30"/>
  <c r="O30"/>
  <c r="B30" i="33"/>
  <c r="R28" i="35"/>
  <c r="U38"/>
  <c r="B27" i="34"/>
  <c r="U11" i="32"/>
  <c r="Q11"/>
  <c r="Q23"/>
  <c r="S30" i="33"/>
  <c r="O30"/>
  <c r="U26"/>
  <c r="U21"/>
  <c r="U26" i="34"/>
  <c r="U23"/>
  <c r="Q23"/>
  <c r="S27"/>
  <c r="U20"/>
  <c r="Q20"/>
  <c r="Q27" s="1"/>
  <c r="P27"/>
  <c r="N38" i="35"/>
  <c r="U27"/>
  <c r="S28"/>
  <c r="S39" s="1"/>
  <c r="P28"/>
  <c r="O28"/>
  <c r="O39" s="1"/>
  <c r="A11" i="34"/>
  <c r="A25" i="33"/>
  <c r="A9" i="32"/>
  <c r="E22" i="35"/>
  <c r="L22" s="1"/>
  <c r="M22" s="1"/>
  <c r="E19" i="32"/>
  <c r="L19" s="1"/>
  <c r="L23" s="1"/>
  <c r="E15" i="33"/>
  <c r="L15" s="1"/>
  <c r="M15" s="1"/>
  <c r="E15" i="34"/>
  <c r="L15" s="1"/>
  <c r="M15" s="1"/>
  <c r="A15" i="35"/>
  <c r="A9" i="34"/>
  <c r="Q28" i="35"/>
  <c r="N28"/>
  <c r="R30" i="33"/>
  <c r="J30" s="1"/>
  <c r="T30"/>
  <c r="A16" i="35"/>
  <c r="N27" i="34"/>
  <c r="G21" i="27"/>
  <c r="G44"/>
  <c r="D49" i="15" l="1"/>
  <c r="C49"/>
  <c r="F64" i="27"/>
  <c r="D26" i="35" s="1"/>
  <c r="G42" i="27"/>
  <c r="F16"/>
  <c r="F13" s="1"/>
  <c r="B1" i="32"/>
  <c r="D3" s="1"/>
  <c r="E49" i="15"/>
  <c r="F46" i="27"/>
  <c r="D21" i="35" s="1"/>
  <c r="E21" s="1"/>
  <c r="K21" s="1"/>
  <c r="M21" s="1"/>
  <c r="G40" i="27"/>
  <c r="F70" i="37"/>
  <c r="F70" i="36"/>
  <c r="B1" i="34"/>
  <c r="D3" s="1"/>
  <c r="B1" i="33"/>
  <c r="D3" s="1"/>
  <c r="D25" i="34"/>
  <c r="G25" s="1"/>
  <c r="D28" i="33"/>
  <c r="E28" s="1"/>
  <c r="K28" s="1"/>
  <c r="M28" s="1"/>
  <c r="D9" i="27"/>
  <c r="B2" i="25"/>
  <c r="B2" i="30" s="1"/>
  <c r="D14" i="32"/>
  <c r="G14" s="1"/>
  <c r="I14" s="1"/>
  <c r="F64" i="37"/>
  <c r="F63" s="1"/>
  <c r="G64"/>
  <c r="F64" i="36"/>
  <c r="F63" s="1"/>
  <c r="G64"/>
  <c r="F60" i="37"/>
  <c r="F59" s="1"/>
  <c r="G60"/>
  <c r="F60" i="36"/>
  <c r="F59" s="1"/>
  <c r="G60"/>
  <c r="F46" i="37"/>
  <c r="G46"/>
  <c r="F46" i="36"/>
  <c r="G46"/>
  <c r="F44" i="37"/>
  <c r="G44"/>
  <c r="F44" i="36"/>
  <c r="G44"/>
  <c r="F42"/>
  <c r="G42"/>
  <c r="F42" i="37"/>
  <c r="G42"/>
  <c r="F40"/>
  <c r="G40"/>
  <c r="F40" i="36"/>
  <c r="G40"/>
  <c r="F16" i="37"/>
  <c r="G16"/>
  <c r="F16" i="36"/>
  <c r="G16"/>
  <c r="U27" i="34"/>
  <c r="U30" i="32"/>
  <c r="L30" i="33"/>
  <c r="E14" i="32"/>
  <c r="K14" s="1"/>
  <c r="L27" i="35"/>
  <c r="L30" i="32"/>
  <c r="L28" i="35"/>
  <c r="L39" s="1"/>
  <c r="L27" i="34"/>
  <c r="N39" i="35"/>
  <c r="F28"/>
  <c r="F39" s="1"/>
  <c r="H28"/>
  <c r="H39" s="1"/>
  <c r="P39"/>
  <c r="H27" i="34"/>
  <c r="R39" i="35"/>
  <c r="J28"/>
  <c r="J39" s="1"/>
  <c r="F30" i="32"/>
  <c r="H30"/>
  <c r="J30"/>
  <c r="D12" i="34"/>
  <c r="E12" s="1"/>
  <c r="K12" s="1"/>
  <c r="M12" s="1"/>
  <c r="F60" i="27"/>
  <c r="D13" i="34"/>
  <c r="E13" s="1"/>
  <c r="K13" s="1"/>
  <c r="M13" s="1"/>
  <c r="Q30" i="32"/>
  <c r="Q38" i="35"/>
  <c r="Q39" s="1"/>
  <c r="D21" i="25"/>
  <c r="U28" i="35"/>
  <c r="U39" s="1"/>
  <c r="U30" i="33"/>
  <c r="M19" i="32"/>
  <c r="D10" i="33"/>
  <c r="D18" i="35"/>
  <c r="D13" i="32"/>
  <c r="D20" i="35"/>
  <c r="D15" i="32"/>
  <c r="E11" i="33"/>
  <c r="K11" s="1"/>
  <c r="M11" s="1"/>
  <c r="G11"/>
  <c r="I11" s="1"/>
  <c r="G19" i="35"/>
  <c r="E19"/>
  <c r="F36" i="27" l="1"/>
  <c r="D19" i="34"/>
  <c r="G19" s="1"/>
  <c r="I19" s="1"/>
  <c r="F63" i="27"/>
  <c r="D28" i="32"/>
  <c r="D29" s="1"/>
  <c r="D6"/>
  <c r="G6" s="1"/>
  <c r="G21" i="35"/>
  <c r="I21" s="1"/>
  <c r="D20" i="33"/>
  <c r="G20" s="1"/>
  <c r="I20" s="1"/>
  <c r="D12"/>
  <c r="G12" s="1"/>
  <c r="I12" s="1"/>
  <c r="E8" i="34"/>
  <c r="K8" s="1"/>
  <c r="E9" i="33"/>
  <c r="K9" s="1"/>
  <c r="F15" i="27"/>
  <c r="E14" i="35"/>
  <c r="K14" s="1"/>
  <c r="D14"/>
  <c r="G14" s="1"/>
  <c r="D9" i="33"/>
  <c r="G9" s="1"/>
  <c r="E6" i="32"/>
  <c r="K6" s="1"/>
  <c r="D8" i="34"/>
  <c r="G8" s="1"/>
  <c r="F66" i="27"/>
  <c r="D14" i="34"/>
  <c r="G14" s="1"/>
  <c r="I14" s="1"/>
  <c r="F39" i="27"/>
  <c r="E25" i="34"/>
  <c r="E26" s="1"/>
  <c r="D16" i="32"/>
  <c r="E16" s="1"/>
  <c r="K16" s="1"/>
  <c r="M16" s="1"/>
  <c r="G28" i="33"/>
  <c r="I28" s="1"/>
  <c r="G13" i="34"/>
  <c r="I13" s="1"/>
  <c r="C2" i="29"/>
  <c r="C2" i="31"/>
  <c r="F36" i="36"/>
  <c r="F39"/>
  <c r="F36" i="37"/>
  <c r="F39"/>
  <c r="F66" i="36"/>
  <c r="F13"/>
  <c r="F72"/>
  <c r="F15"/>
  <c r="F66" i="37"/>
  <c r="F13"/>
  <c r="F72"/>
  <c r="F15"/>
  <c r="G12" i="34"/>
  <c r="I12" s="1"/>
  <c r="F72" i="27"/>
  <c r="D22" i="34"/>
  <c r="E22" s="1"/>
  <c r="K22" s="1"/>
  <c r="M22" s="1"/>
  <c r="D19" i="33"/>
  <c r="G19" s="1"/>
  <c r="I19" s="1"/>
  <c r="F59" i="27"/>
  <c r="D11" i="35"/>
  <c r="D25" i="32"/>
  <c r="D25" i="25"/>
  <c r="F20" i="34"/>
  <c r="F74" i="27"/>
  <c r="G13" i="32"/>
  <c r="I13" s="1"/>
  <c r="E13"/>
  <c r="E10" i="33"/>
  <c r="K10" s="1"/>
  <c r="M10" s="1"/>
  <c r="G10"/>
  <c r="I10" s="1"/>
  <c r="J20" i="34"/>
  <c r="E18" i="35"/>
  <c r="K18" s="1"/>
  <c r="M18" s="1"/>
  <c r="G18"/>
  <c r="I18" s="1"/>
  <c r="E15" i="32"/>
  <c r="K15" s="1"/>
  <c r="M15" s="1"/>
  <c r="G15"/>
  <c r="I15" s="1"/>
  <c r="G20" i="35"/>
  <c r="I20" s="1"/>
  <c r="E20"/>
  <c r="K20" s="1"/>
  <c r="M20" s="1"/>
  <c r="G26"/>
  <c r="I26" s="1"/>
  <c r="E26"/>
  <c r="D29" i="33"/>
  <c r="M14" i="32"/>
  <c r="D30" i="31"/>
  <c r="I25" i="34"/>
  <c r="K19" i="35"/>
  <c r="I19"/>
  <c r="E19" i="34" l="1"/>
  <c r="K19" s="1"/>
  <c r="M19" s="1"/>
  <c r="G28" i="32"/>
  <c r="G29" s="1"/>
  <c r="C13" i="25" s="1"/>
  <c r="D11" i="32"/>
  <c r="E28"/>
  <c r="E29" s="1"/>
  <c r="E12" i="33"/>
  <c r="K12" s="1"/>
  <c r="M12" s="1"/>
  <c r="D20" i="34"/>
  <c r="E11" i="32"/>
  <c r="E20" i="33"/>
  <c r="K20" s="1"/>
  <c r="M20" s="1"/>
  <c r="D28" i="35"/>
  <c r="D39" s="1"/>
  <c r="D27"/>
  <c r="E14" i="34"/>
  <c r="K14" s="1"/>
  <c r="M14" s="1"/>
  <c r="K25"/>
  <c r="M25" s="1"/>
  <c r="D23" i="32"/>
  <c r="D30"/>
  <c r="G16"/>
  <c r="I16" s="1"/>
  <c r="I23" s="1"/>
  <c r="E11" i="25" s="1"/>
  <c r="F11" s="1"/>
  <c r="G22" i="34"/>
  <c r="G23" s="1"/>
  <c r="C12" i="30" s="1"/>
  <c r="K23" i="34"/>
  <c r="C22" i="30" s="1"/>
  <c r="E27" i="35"/>
  <c r="D30" i="33"/>
  <c r="E23" i="32"/>
  <c r="M14" i="35"/>
  <c r="I14"/>
  <c r="G27"/>
  <c r="G11" i="32"/>
  <c r="C10" i="25" s="1"/>
  <c r="M9" i="33"/>
  <c r="I8" i="34"/>
  <c r="I20" s="1"/>
  <c r="M8"/>
  <c r="I9" i="33"/>
  <c r="I30" s="1"/>
  <c r="G30"/>
  <c r="K26" i="35"/>
  <c r="M26" s="1"/>
  <c r="I6" i="32"/>
  <c r="I11" s="1"/>
  <c r="E19" i="33"/>
  <c r="K19" s="1"/>
  <c r="M19" s="1"/>
  <c r="D21"/>
  <c r="G11" i="35"/>
  <c r="G28" s="1"/>
  <c r="G39" s="1"/>
  <c r="D12"/>
  <c r="E11"/>
  <c r="E28" s="1"/>
  <c r="E39" s="1"/>
  <c r="E25" i="32"/>
  <c r="G25"/>
  <c r="D26"/>
  <c r="G21" i="33"/>
  <c r="D12" i="29" s="1"/>
  <c r="K13" i="32"/>
  <c r="M6"/>
  <c r="K11"/>
  <c r="D23" i="34"/>
  <c r="G20"/>
  <c r="G26" i="33"/>
  <c r="G26" i="34"/>
  <c r="C13" i="30" s="1"/>
  <c r="K26" i="33"/>
  <c r="C29" i="31"/>
  <c r="F29"/>
  <c r="E23" i="34"/>
  <c r="F23"/>
  <c r="I29" i="33"/>
  <c r="G29"/>
  <c r="D14" i="29" s="1"/>
  <c r="K29" i="33"/>
  <c r="D25" i="29" s="1"/>
  <c r="M19" i="35"/>
  <c r="E30" i="32" l="1"/>
  <c r="E27" i="34"/>
  <c r="I28" i="32"/>
  <c r="I29" s="1"/>
  <c r="E13" i="25" s="1"/>
  <c r="F13" s="1"/>
  <c r="K28" i="32"/>
  <c r="K29" s="1"/>
  <c r="C23" i="25" s="1"/>
  <c r="K26" i="34"/>
  <c r="C23" i="30" s="1"/>
  <c r="G30" i="32"/>
  <c r="K20" i="34"/>
  <c r="C21" i="30" s="1"/>
  <c r="E20" i="34"/>
  <c r="G23" i="32"/>
  <c r="C11" i="25" s="1"/>
  <c r="I21" i="33"/>
  <c r="F12" i="29" s="1"/>
  <c r="G12" s="1"/>
  <c r="I22" i="34"/>
  <c r="I23" s="1"/>
  <c r="E12" i="30" s="1"/>
  <c r="F12" s="1"/>
  <c r="M28" i="32"/>
  <c r="M29" s="1"/>
  <c r="E23" i="25" s="1"/>
  <c r="E30" i="33"/>
  <c r="M30"/>
  <c r="F27" i="34"/>
  <c r="K27" i="35"/>
  <c r="D32" i="31" s="1"/>
  <c r="K30" i="33"/>
  <c r="D27" i="29" s="1"/>
  <c r="G27" i="34"/>
  <c r="C15" i="30" s="1"/>
  <c r="M13" i="32"/>
  <c r="K23"/>
  <c r="C21" i="25" s="1"/>
  <c r="I27" i="35"/>
  <c r="F14" i="31" s="1"/>
  <c r="G14" s="1"/>
  <c r="K21" i="33"/>
  <c r="D23" i="29" s="1"/>
  <c r="G26" i="32"/>
  <c r="C12" i="25" s="1"/>
  <c r="I25" i="32"/>
  <c r="I26" s="1"/>
  <c r="E12" i="25" s="1"/>
  <c r="F12" s="1"/>
  <c r="K11" i="35"/>
  <c r="K28" s="1"/>
  <c r="K39" s="1"/>
  <c r="E12"/>
  <c r="I11"/>
  <c r="I12" s="1"/>
  <c r="F13" i="31" s="1"/>
  <c r="G13" s="1"/>
  <c r="G12" i="35"/>
  <c r="D13" i="31" s="1"/>
  <c r="K25" i="32"/>
  <c r="E26"/>
  <c r="F14" i="29"/>
  <c r="G14" s="1"/>
  <c r="E11" i="30"/>
  <c r="F11" s="1"/>
  <c r="D16" i="29"/>
  <c r="C11" i="30"/>
  <c r="D14" i="31"/>
  <c r="C20" i="25"/>
  <c r="E10"/>
  <c r="F10" s="1"/>
  <c r="M11" i="32"/>
  <c r="J23" i="34"/>
  <c r="M23"/>
  <c r="K30" i="32" l="1"/>
  <c r="K27" i="34"/>
  <c r="C25" i="30" s="1"/>
  <c r="J27" i="34"/>
  <c r="I28" i="35"/>
  <c r="I39" s="1"/>
  <c r="F23" i="31" s="1"/>
  <c r="I30" i="32"/>
  <c r="E15" i="25" s="1"/>
  <c r="M23" i="32"/>
  <c r="E21" i="25" s="1"/>
  <c r="F21" s="1"/>
  <c r="C15"/>
  <c r="D23" i="31"/>
  <c r="K26" i="32"/>
  <c r="M25"/>
  <c r="M26" s="1"/>
  <c r="E22" i="25" s="1"/>
  <c r="F22" s="1"/>
  <c r="K12" i="35"/>
  <c r="M11"/>
  <c r="E22" i="30"/>
  <c r="F22" s="1"/>
  <c r="E20" i="25"/>
  <c r="F20" s="1"/>
  <c r="F26" i="34"/>
  <c r="D26"/>
  <c r="D27" s="1"/>
  <c r="F26" i="33"/>
  <c r="D26"/>
  <c r="F15" i="31" l="1"/>
  <c r="G15" s="1"/>
  <c r="M30" i="32"/>
  <c r="E25" i="25" s="1"/>
  <c r="M12" i="35"/>
  <c r="F31" i="31" s="1"/>
  <c r="G31" s="1"/>
  <c r="D15"/>
  <c r="D31"/>
  <c r="C22" i="25"/>
  <c r="C25"/>
  <c r="I26" i="33"/>
  <c r="C30" i="31"/>
  <c r="F23" i="25"/>
  <c r="G23" i="31"/>
  <c r="I26" i="34"/>
  <c r="I27" s="1"/>
  <c r="J26"/>
  <c r="F15" i="25"/>
  <c r="J26" i="33"/>
  <c r="D33" i="31" l="1"/>
  <c r="D41"/>
  <c r="E13" i="30"/>
  <c r="F13" s="1"/>
  <c r="E15"/>
  <c r="F15" s="1"/>
  <c r="F16" i="29"/>
  <c r="G16" s="1"/>
  <c r="E21" i="33"/>
  <c r="F71" i="27"/>
  <c r="M16" i="34" l="1"/>
  <c r="L20"/>
  <c r="M21" i="33"/>
  <c r="L21"/>
  <c r="E23" i="29" s="1"/>
  <c r="M23" i="35"/>
  <c r="F69" i="27"/>
  <c r="F73"/>
  <c r="F70"/>
  <c r="E29" i="33"/>
  <c r="M29"/>
  <c r="L29"/>
  <c r="M27" i="35" l="1"/>
  <c r="F32" i="31" s="1"/>
  <c r="G32" s="1"/>
  <c r="M28" i="35"/>
  <c r="M39" s="1"/>
  <c r="M20" i="34"/>
  <c r="E21" i="30" s="1"/>
  <c r="F21" s="1"/>
  <c r="F25" i="29"/>
  <c r="G25" s="1"/>
  <c r="E32" i="31"/>
  <c r="F23" i="29"/>
  <c r="G23" s="1"/>
  <c r="D21" i="30"/>
  <c r="L26" i="33"/>
  <c r="L26" i="34"/>
  <c r="E30" i="31"/>
  <c r="E26" i="33"/>
  <c r="E24" i="29" l="1"/>
  <c r="E27"/>
  <c r="F33" i="31"/>
  <c r="G33" s="1"/>
  <c r="F41"/>
  <c r="G41" s="1"/>
  <c r="E33"/>
  <c r="E41"/>
  <c r="M26" i="34"/>
  <c r="F30" i="31"/>
  <c r="M26" i="33"/>
  <c r="F25" i="25"/>
  <c r="M27" i="34" l="1"/>
  <c r="E25" i="30" s="1"/>
  <c r="F25" s="1"/>
  <c r="F24" i="29"/>
  <c r="G24" s="1"/>
  <c r="F27"/>
  <c r="G27" s="1"/>
  <c r="E23" i="30"/>
  <c r="F23" s="1"/>
</calcChain>
</file>

<file path=xl/sharedStrings.xml><?xml version="1.0" encoding="utf-8"?>
<sst xmlns="http://schemas.openxmlformats.org/spreadsheetml/2006/main" count="758" uniqueCount="309">
  <si>
    <t>คะแนนการประเมินเฉลี่ย (สกอ.)</t>
  </si>
  <si>
    <t>เฉลี่ยรวมทุกตัวบ่งชี้ของทุกองค์ประกอบ</t>
  </si>
  <si>
    <t>มาตรฐานอุดมศึกษา</t>
  </si>
  <si>
    <t>เฉลี่ยรวมทุกตัวบ่งชี้ของทุกมาตรฐาน</t>
  </si>
  <si>
    <t>ด้านนักศึกษาและผู้มีส่วนได้ส่วนเสีย</t>
  </si>
  <si>
    <t>ด้านกระบวนการภายใน</t>
  </si>
  <si>
    <t>ด้านการเงิน</t>
  </si>
  <si>
    <t>ด้านบุคลากรการเรียนรู้และนวัตกรรม</t>
  </si>
  <si>
    <t>1. มาตรฐานด้านศักยภาพและความพร้อมในการจัดการศึกษา</t>
  </si>
  <si>
    <t>(1) ด้านกายภาพ</t>
  </si>
  <si>
    <t>(2) ด้านวิชาการ</t>
  </si>
  <si>
    <t>(3) ด้านการเงิน</t>
  </si>
  <si>
    <t>(4) ด้านการบริหารจัดการ</t>
  </si>
  <si>
    <t>เฉลี่ยรวมทุกตัวบ่งชี้ของมาตรฐานที่ 1</t>
  </si>
  <si>
    <t>2. มาตรฐานด้านการดำเนินการตามภารกิจของสถาบันอุดมศึกษา</t>
  </si>
  <si>
    <t>(1) ด้านการผลิตบัณฑิต</t>
  </si>
  <si>
    <t>(2) ด้านการวิจัย</t>
  </si>
  <si>
    <t>(3) ด้านการให้บริการวิชาการแก่สังคม</t>
  </si>
  <si>
    <t>(4) ด้านการทำนุบำรุงศิลปวัฒนธรรม</t>
  </si>
  <si>
    <t>เฉลี่ยรวมทุกตัวบ่งชี้ของมาตรฐานที่ 2</t>
  </si>
  <si>
    <t>ประเภท</t>
  </si>
  <si>
    <t>ผลงานเทียบเป้าหมาย</t>
  </si>
  <si>
    <t>การพัฒนาสถาบันสู่สถาบันเรียนรู้</t>
  </si>
  <si>
    <t xml:space="preserve">1.  มีการกำหนดประเด็นความรู้และเป้าหมายของการจัดการความรู้ที่สอดคล้องกับแผนกลยุทธ์ของมหาวิทยาลัยอย่างน้อยครอบคลุมพันธกิจด้านการผลิตบัณฑิตและด้านการวิจัย </t>
  </si>
  <si>
    <t>2.  กำหนดบุคลากรกลุ่มเป้าหมายที่จะพัฒนาความรู้และทักษะด้านการผลิตบัณฑิตและด้านการวิจัยอย่างชัดเจนตามประเด็นความรู้ที่กำหนดในข้อ 1</t>
  </si>
  <si>
    <t>3.  มีการแบ่งปันและแลกเปลี่ยนเรียนรู้จากความรู้ ทักษะของผู้มีประสบการณ์ตรง (Tacit Knowledge) เพื่อค้นหาแนวปฏิบัติที่ดีตามประเด็นความรู้ที่กำหนดในข้อ 1 และเผยแพร่ไปสู่บุคลากรกลุ่มเป้าหมายที่กำหนด</t>
  </si>
  <si>
    <t>4.  มีการรวบรวมความรู้ตามประเด็นความรู้ที่กำหนดในข้อ 1 ทั้งที่มีอยู่ในตัวบุคคลและแหล่งเรียนรู้อื่นๆ ที่เป็นแนวปฏิบัติที่ดีมาพัฒนาและจัดเก็บอย่างเป็นระบบโดยเผยแพร่ออกมาเป็นลายลักษณ์อักษร (Explicit Knowledge)</t>
  </si>
  <si>
    <t>ระบบสารสนเทศเพื่อการบริหารและการตัดสินใจ</t>
  </si>
  <si>
    <t>1.    มีแผนระบบสารสนเทศ (Information System Plan)</t>
  </si>
  <si>
    <t>3.    มีการประเมินความพึงพอใจของผู้ใช้ระบบสารสนเทศ</t>
  </si>
  <si>
    <t>4.    มีการนำผลการประเมินความพึงพอใจของผู้ใช้ระบบสารสนเทศมาปรับปรุงระบบสารสนเทศ</t>
  </si>
  <si>
    <t xml:space="preserve">5.    มีการส่งข้อมูลผ่านระบบเครือข่ายของหน่วยงานภายนอกที่เกี่ยวข้องตามที่กำหนด </t>
  </si>
  <si>
    <t>ระบบบริหารความเสี่ยง</t>
  </si>
  <si>
    <t xml:space="preserve">1.  มีการแต่งตั้งคณะกรรมการหรือคณะทำงานบริหารความเสี่ยง โดยมีผู้บริหารระดับสูงและตัวแทนที่รับผิดชอบพันธกิจหลักของมหาวิทยาลัยร่วมเป็นคณะกรรมการหรือคณะทำงาน </t>
  </si>
  <si>
    <t xml:space="preserve">2.  มีการวิเคราะห์และระบุความเสี่ยง และปัจจัยที่ก่อให้เกิดความเสี่ยงอย่างน้อย 3 ด้าน ตามบริบทของมหาวิทยาลัย จากตัวอย่างต่อไปนี้ </t>
  </si>
  <si>
    <t xml:space="preserve">-   ความเสี่ยงด้านทรัพยากร (การเงิน งบประมาณ ระบบเทคโนโลยีสารสนเทศ อาคารสถานที่) </t>
  </si>
  <si>
    <t>-   ความเสี่ยงด้านยุทธศาสตร์  หรือกลยุทธ์ของมหาวิทยาลัย</t>
  </si>
  <si>
    <t>-   ความเสี่ยงด้านนโยบาย กฎหมาย ระเบียบ ข้อบังคับ</t>
  </si>
  <si>
    <t>-  ความเสี่ยงด้านการปฏิบัติงานเช่น ความเสี่ยงของกระบวนการบริหารหลักสูตร    การบริหารงานวิจัย  ระบบงาน ระบบประกันคุณภาพ</t>
  </si>
  <si>
    <t xml:space="preserve">-   ความเสี่ยงด้านบุคลากรและความเสี่ยงด้านธรรมาภิบาล โดยเฉพาะจรรยาบรรณของอาจารย์และบุคลากร </t>
  </si>
  <si>
    <t>-   ความเสี่ยงจากเหตุการณ์ภายนอก</t>
  </si>
  <si>
    <t xml:space="preserve">3.    มีการประเมินโอกาสและผลกระทบของความเสี่ยงและจัดลำดับความเสี่ยงที่ได้จากการวิเคราะห์ในข้อ 2 </t>
  </si>
  <si>
    <t>4.    มีการจัดทำแผนบริหารความเสี่ยงที่มีระดับความเสี่ยงสูง และดำเนินการตามแผน</t>
  </si>
  <si>
    <t>5.    มีการติดตาม และประเมินผลการดำเนินงานตามแผนและรายงานต่อสภามหาวิทยาลัยเพื่อพิจารณาอย่างน้อยปีละ 1 ครั้ง</t>
  </si>
  <si>
    <t>ตัวบ่งชี้ด้านคุณภาพการบริหารและพัฒนามหาวิทยาลัย</t>
  </si>
  <si>
    <t>1.    สภากำหนดวิสัยทัศน์ พันธกิจ ทิศทาง นโยบายของสถาบันอุดมศึกษา</t>
  </si>
  <si>
    <t>2.  มีการปฏิบัติตามบทบาทหน้าที่ครบถ้วนตามที่กฎหมายกำหนด(หมายรวมถึงระเบียบ ประกาศ คำสั่ง แนวปฏิบัติของหน่วยงานต่างๆ ที่เกี่ยวข้อง)</t>
  </si>
  <si>
    <t>3.  มีการติดตามและประเมินผลการดำเนินงานตามแผนยุทธศาสตร์/แผนประจำปี อย่างน้อยปีละ 1 ครั้ง และมีผลการกำกับติดตามการประเมินอธิการบดีหรือผู้บริหารสูงสุดอย่างน้อย 2 ครั้งในรอบวาระการดำรงตำแหน่ง</t>
  </si>
  <si>
    <t>4.  สภามหาวิทยาลัยดำเนินงานภายใต้หลักธรรมาภิบาลและกำกับดูแลให้มหาวิทยาลัยดำเนินงานภายใต้หลักธรรมาภิบาลครบถ้วนทุกประเด็น</t>
  </si>
  <si>
    <t>5.  ความสำเร็จจากผลการประเมินสภามหาวิทยาลัยจากผู้ทรงคุณวุฒิภายนอกที่มาจากการสรรหาอย่างเป็นระบบ ไม่ต่ำกว่า 3.51 จากคะแนนเต็ม 5 ( ภายใต้กรอบมาตรฐานในการประเมินที่สำนักกำหนด)</t>
  </si>
  <si>
    <t>องค์ประกอบที่ 7 การบริหารจัดการ</t>
  </si>
  <si>
    <t>ระบบและกลไกการเงินและงบประมาณ</t>
  </si>
  <si>
    <t>1.    มีแผนกลยุทธ์ทางการเงินที่สอดคล้องกับแผนกลยุทธ์ของสถาบัน</t>
  </si>
  <si>
    <t>2.  มีแนวทางจัดหาทรัพยากรทางด้านการเงิน  หลักเกณฑ์การจัดสรร และการวางแผนการใช้เงินอย่างมีประสิทธิภาพ โปร่งใส ตรวจสอบได้</t>
  </si>
  <si>
    <t>6.  มีหน่วยงานตรวจสอบภายในและภายนอก ทำหน้าที่ตรวจ ติดตามการใช้เงินให้เป็นไปตามระเบียบและกฎเกณฑ์ที่มหาวิทยาลัยกำหนด</t>
  </si>
  <si>
    <t>7.  ผู้บริหารระดับสูงมีการติดตามผลการใช้เงินให้เป็นไปตามเป้าหมาย และนำข้อมูลจากรายงานทางการเงินไปใช้ในการวางแผนและการตัดสินใจ</t>
  </si>
  <si>
    <t>ระบบและกลไกการประกันคุณภาพภายใน</t>
  </si>
  <si>
    <t>4.  มีการดำเนินงานด้านการประกันคุณภาพการศึกษาภายในที่ครบถ้วน ประกอบด้วย      1) การควบคุม ติดตามการดำเนินงาน และการประเมินคุณภาพ 2) การจัดทำรายงานประจำปีที่เป็นรายงานการประเมินคุณภาพเสนอต่อสภามหาวิทยาลัย และสำนักงานคณะกรรมการการอุดมศึกษาตามกำหนดเวลา โดยเป็นรายงานที่มีข้อมูลครบถ้วนตามที่สำนักงานคณะกรรมการการอุดมศึกษากำหนดใน CHE QA  Online และ 3) การนำผลการประเมินคุณภาพไปทำแผนการพัฒนาคุณภาพการศึกษาของมหาวิทยาลัย</t>
  </si>
  <si>
    <t>5.  มีการนำผลการประกันคุณภาพการศึกษาภายในมาปรับปรุงการทำงาน และส่งผลให้ มีการพัฒนาผลการดำเนินงานของตัวบ่งชี้ตามแผนกลยุทธ์ทุกตัวบ่งชี้</t>
  </si>
  <si>
    <t>6.    มีระบบสารสนเทศที่ให้ข้อมูลสนับสนุนการประกันคุณภาพการศึกษาภายในครบทั้ง 9 องค์ประกอบคุณภาพ</t>
  </si>
  <si>
    <t>8.    มีเครือข่ายการแลกเปลี่ยนเรียนรู้ด้านการประกันคุณภาพการศึกษาระหว่างมหาวิทยาลัย และมีกิจกรรมร่วมกัน</t>
  </si>
  <si>
    <t xml:space="preserve">9.  มีแนวปฏิบัติที่ดีหรืองานวิจัยด้านการประกันคุณภาพการศึกษาที่หน่วยงานพัฒนาขึ้น และเผยแพร่ให้หน่วยงานอื่นสามารถนำไปใช้ประโยชน์ </t>
  </si>
  <si>
    <t>องค์ประกอบที่  9  การประกันคุณภาพ</t>
  </si>
  <si>
    <t>องค์ประกอบที่ 1 ปรัชญา ปณิธาน วัตถุประสงค์ และแผนดำเนินการ</t>
  </si>
  <si>
    <t>องค์ประกอบที่ 7  การบริหารและการจัดการ</t>
  </si>
  <si>
    <t>ตัวบ่งชี้ที่ 7.2 การพัฒนามหาวิทยาลัย/หน่วยงานสู่มหาวิทยาลัย/หน่วยงานเรียนรู้</t>
  </si>
  <si>
    <t>ตัวบ่งชี้ที่ 7.3 ระบบสารสนเทศเพื่อการบริหารและการตัดสินใจ</t>
  </si>
  <si>
    <t>ตัวบ่งชี้ที่ 7.4 ระบบบริหารความเสี่ยง</t>
  </si>
  <si>
    <t>ตัวบ่งชี้ที่ 8.1 ระบบและกลไกการเงินและงบประมาณ</t>
  </si>
  <si>
    <t>ตัวบ่งชี้ที่ 9.1 ระบบและกลไกการประกันคุณภาพการศึกษาภายใน</t>
  </si>
  <si>
    <t>เป้าหมาย</t>
  </si>
  <si>
    <t>องค์ประกอบ/ตัวบ่งชี้ที่ร่วม</t>
  </si>
  <si>
    <t xml:space="preserve">ตัวบ่งชี้ที่ 1.1 กระบวนการพัฒนาแผน  </t>
  </si>
  <si>
    <t>ตัวบ่งชี้ที่ 7.1  ภาวะผู้นำของสภามหาวิทยาลัย/คณะกรรมการบริหารฯ และผู้บริหารทุกระดับของมหาวิทยาลัย/หน่วยงาน</t>
  </si>
  <si>
    <t>ตัวบ่งชี้ที่ 7.5.1 การปฏิบัติตามบทบาทหน้าที่ของสภาสถาบัน</t>
  </si>
  <si>
    <t>ตัวบ่งชี้ที่ 7.5.2 การปฏิบัติตามบทบาทหน้าที่ของผู้บริหารสถาบัน</t>
  </si>
  <si>
    <t>O</t>
  </si>
  <si>
    <t>P</t>
  </si>
  <si>
    <t>I</t>
  </si>
  <si>
    <t>องค์ประกอบที่ 8  การเงินและงบประมาณ</t>
  </si>
  <si>
    <t>องค์ประกอบที่ 9  ระบบและกลไกการประกันคุณภาพ</t>
  </si>
  <si>
    <t>องค์ประกอบที่  1  ปรัชญา ปณิธาน วัตถุประสงค์ และแผนดำเนินการ</t>
  </si>
  <si>
    <t>องค์ประกอบและตัวบ่งชี้</t>
  </si>
  <si>
    <t>กระบวนการพัฒนาแผน</t>
  </si>
  <si>
    <t>2.    มีการถ่ายทอดแผนกลยุทธ์ระดับสถาบันไปสู่ทุกหน่วยงานภายใน</t>
  </si>
  <si>
    <t>3.  มีกระบวนการแปลงแผนกลยุทธ์เป็นแผนปฏิบัติงานประจำปีครบ 4 พันธกิจ คือ ด้านการเรียนการสอน การวิจัย การบริการทางวิชาการ และการทำนุบำรุงศิลปะและวัฒนธรรม</t>
  </si>
  <si>
    <t>4.  มีตัวบ่งชี้ของแผนกลยุทธ์ แผนปฏิบัติงานประจำปีและค่าเป้าหมายของแต่ละตัวบ่งชี้ เพื่อวัดความสำเร็จของการดำเนินงานตามแผนกลยุทธ์และแผนปฏิบัติงานประจำปี</t>
  </si>
  <si>
    <t>5.    มีการดำเนินการตามแผนปฏิบัติงานประจำปีครบ 4 พันธกิจ</t>
  </si>
  <si>
    <t>6.  มีการติดตามผลการดำเนินงานตามตัวบ่งชี้ของแผนปฏิบัติงานประจำปีอย่างน้อยปีละ 2 ครั้ง และรายงานผลต่อผู้บริหารเพื่อพิจารณา</t>
  </si>
  <si>
    <t>7.  มีการประเมินผลการดำเนินงานตามตัวบ่งชี้ของแผนกลยุทธ์อย่างน้อยปีละ 1 ครั้งและรายงานผลต่อผู้บริหารและสภาสถาบันเพื่อพิจารณา</t>
  </si>
  <si>
    <t>8.    มีการนำผลการพิจารณาข้อคิดเห็นและข้อเสนอแนะของสภาสถาบันไปปรับปรุงแผน กลยุทธ์และแผนปฏิบัติงานประจำปี</t>
  </si>
  <si>
    <t>ภาวะผู้นำของสภาสถาบันและผู้บริหารทุกระดับของสถาบัน</t>
  </si>
  <si>
    <t>4.  ผู้บริหารสนับสนุนให้บุคลากรในสถาบันมีส่วนร่วมในการบริหารจัดการ ให้อำนาจในการตัดสินใจแก่บุคลากรตามความเหมาะสม</t>
  </si>
  <si>
    <t>คะแนน สกอ.</t>
  </si>
  <si>
    <t>คะแนน สมศ.</t>
  </si>
  <si>
    <t>เปลี่ยนเกณฑ์</t>
  </si>
  <si>
    <t>ประเภทสถาบัน</t>
  </si>
  <si>
    <r>
      <rPr>
        <b/>
        <sz val="18"/>
        <color indexed="8"/>
        <rFont val="Wingdings 2"/>
        <family val="1"/>
        <charset val="2"/>
      </rPr>
      <t>*</t>
    </r>
    <r>
      <rPr>
        <b/>
        <sz val="16"/>
        <color indexed="8"/>
        <rFont val="TH SarabunPSK"/>
        <family val="2"/>
      </rPr>
      <t xml:space="preserve">  กลุ่ม ก  วิทยาลัยชุมชน</t>
    </r>
  </si>
  <si>
    <r>
      <rPr>
        <b/>
        <sz val="16"/>
        <color indexed="8"/>
        <rFont val="Wingdings 2"/>
        <family val="1"/>
        <charset val="2"/>
      </rPr>
      <t>R</t>
    </r>
    <r>
      <rPr>
        <b/>
        <sz val="12.8"/>
        <color indexed="8"/>
        <rFont val="TH SarabunPSK"/>
        <family val="2"/>
      </rPr>
      <t xml:space="preserve">  </t>
    </r>
    <r>
      <rPr>
        <b/>
        <sz val="16"/>
        <color indexed="8"/>
        <rFont val="TH SarabunPSK"/>
        <family val="2"/>
      </rPr>
      <t>กลุ่ม ข  สถาบันที่เน้นระดับปริญญาตรี</t>
    </r>
  </si>
  <si>
    <r>
      <rPr>
        <b/>
        <sz val="18"/>
        <color indexed="8"/>
        <rFont val="Wingdings 2"/>
        <family val="1"/>
        <charset val="2"/>
      </rPr>
      <t xml:space="preserve">   *</t>
    </r>
    <r>
      <rPr>
        <b/>
        <sz val="16"/>
        <color indexed="8"/>
        <rFont val="TH SarabunPSK"/>
        <family val="2"/>
      </rPr>
      <t xml:space="preserve">  กลุ่ม ค 1  สถาบันที่เน้นระดับบัณฑิตศึกษา</t>
    </r>
  </si>
  <si>
    <r>
      <rPr>
        <b/>
        <sz val="18"/>
        <color indexed="8"/>
        <rFont val="Wingdings 2"/>
        <family val="1"/>
        <charset val="2"/>
      </rPr>
      <t xml:space="preserve">   *</t>
    </r>
    <r>
      <rPr>
        <b/>
        <sz val="16"/>
        <color indexed="8"/>
        <rFont val="TH SarabunPSK"/>
        <family val="2"/>
      </rPr>
      <t xml:space="preserve">  กลุ่ม ค 2  สถาบันที่เน้นระดับปริญญาตรี</t>
    </r>
  </si>
  <si>
    <r>
      <rPr>
        <b/>
        <sz val="18"/>
        <color indexed="8"/>
        <rFont val="Wingdings 2"/>
        <family val="1"/>
        <charset val="2"/>
      </rPr>
      <t>*</t>
    </r>
    <r>
      <rPr>
        <b/>
        <sz val="16"/>
        <color indexed="8"/>
        <rFont val="TH SarabunPSK"/>
        <family val="2"/>
      </rPr>
      <t xml:space="preserve">  กลุ่ม ง  สถาบันที่เน้นวิจัยขั้นสูงและผลิตบัณฑิตระดับบัณฑิตศึกษาโดยเฉพาะปริญญาเอก</t>
    </r>
  </si>
  <si>
    <r>
      <rPr>
        <b/>
        <sz val="18"/>
        <color indexed="8"/>
        <rFont val="Wingdings 2"/>
        <family val="1"/>
        <charset val="2"/>
      </rPr>
      <t>*</t>
    </r>
    <r>
      <rPr>
        <b/>
        <sz val="16"/>
        <color indexed="8"/>
        <rFont val="TH SarabunPSK"/>
        <family val="2"/>
      </rPr>
      <t xml:space="preserve">  กลุ่ม ค  สถาบันเฉพาะทาง</t>
    </r>
  </si>
  <si>
    <t>ตัวตั้ง</t>
  </si>
  <si>
    <t>ตัวหาร</t>
  </si>
  <si>
    <t>ผลลัพธ์</t>
  </si>
  <si>
    <t>(% หรือสัดส่วน)</t>
  </si>
  <si>
    <t>องค์ประกอบ</t>
  </si>
  <si>
    <t>รวม</t>
  </si>
  <si>
    <t>ผลการประเมิน</t>
  </si>
  <si>
    <r>
      <t xml:space="preserve">ตัวบ่งชี้ที่ 7.5.1 การปฏิบัติตามบทบาทหน้าที่ของสภาสถาบัน 
</t>
    </r>
    <r>
      <rPr>
        <b/>
        <u/>
        <sz val="16"/>
        <rFont val="TH SarabunPSK"/>
        <family val="2"/>
      </rPr>
      <t>(ใช้ผลประเมินจาก 7.1 โดยค่าคะแนนเต็ม 5)</t>
    </r>
  </si>
  <si>
    <t>องค์ประกอบ/ตัวบ่งชี้</t>
  </si>
  <si>
    <t>ไม่ประเมินระดับคณะ</t>
  </si>
  <si>
    <t>คะแนนการประเมินเฉลี่ย สกอ.</t>
  </si>
  <si>
    <t>คะแนนการประเมินเฉลี่ย คณะ</t>
  </si>
  <si>
    <t>Input</t>
  </si>
  <si>
    <t>process</t>
  </si>
  <si>
    <t>output</t>
  </si>
  <si>
    <t>1.  มีระบบและกลไกการประกันคุณภาพการศึกษาภายในที่เหมาะสมและสอดคล้องกับพันธกิจและพัฒนาการของมหาวิทยาลัย ตั้งแต่ระดับภาควิชาหรือหน่วยงานเทียบเท่า และดำเนินการตามระบบที่กำหนด</t>
  </si>
  <si>
    <t>องค์ประกอบคุณภาพ</t>
  </si>
  <si>
    <t>ค่าน้ำหนัก</t>
  </si>
  <si>
    <t>ผลการประเมินโดยคณะกรรมการ</t>
  </si>
  <si>
    <t>ประเภท KPI (สกอ.)</t>
  </si>
  <si>
    <t>ประเภท KPI คณะ</t>
  </si>
  <si>
    <t>ตามเกณฑ์ส.ก.อ.</t>
  </si>
  <si>
    <t>ตามเกณฑ์คณะ</t>
  </si>
  <si>
    <t>ตามเกณฑ์ม.อ.บ.</t>
  </si>
  <si>
    <t>ตาราง ป 2-1</t>
  </si>
  <si>
    <t>เฉลี่ย</t>
  </si>
  <si>
    <t>2.  ผู้บริหารมีวิสัยทัศน์ กำหนดทิศทางการดำเนินงาน และสามารถถ่ายทอดไปยังบุคลากรทุกระดับมีความสามารถในการวางแผนกลยุทธ์ มีการนำข้อมูลสารสนเทศเป็นฐานในการปฏิบัติงานและพัฒนาคณะ</t>
  </si>
  <si>
    <t>3.  ผู้บริหารมีการกำกับ ติดตามและประเมินผลการดำเนินงานตามที่มอบหมาย รวมทั้งสามารถสื่อสารแผนและผลการดำเนินงานของคณะไปยังบุคลากรในคณะ</t>
  </si>
  <si>
    <t>5.  ผู้บริหารถ่ายทอดความรู้และส่งเสริมพัฒนาผู้ร่วมงานเพื่อให้สามารถทำงานบรรลุวัตถุประสงค์ของคณะเต็มตามศักยภาพ</t>
  </si>
  <si>
    <t>6. ผู้บริหารบริหารงานด้วยหลักธรรมาภิบาล โดยคำนึงถึงประโยชน์ของคณะ และผู้มีส่วนได้ส่วนเสีย</t>
  </si>
  <si>
    <t>5.   มีการนำความรู้ที่ได้จากการจัดการความรู้ในปีการศึกษาปัจจุบันหรือปีการศึกษาที่ผ่านมาที่เป็นลายลักษณ์อักษร (Explicit Knowledge) และจากความรู้ ทักษะของผู้มีประสบการณ์ตรง  (Tacit Knowledge) ที่เป็นแนวปฏิบัติที่ดีมาปรับใช้ในการปฏิบัติงานจริง</t>
  </si>
  <si>
    <t xml:space="preserve">6.  มีการนำผลการประเมิน และข้อเสนอแนะจาก ค.กก.คณะ ไปใช้ในการปรับแผนหรือวิเคราะห์ความเสี่ยงในรอบปีถัดไป </t>
  </si>
  <si>
    <t>5.  มีการนำข้อมูลทางการเงินไปใช้ในการวิเคราะห์ค่าใช้จ่าย และวิเคราะห์สถานะทางการเงินและความมั่นคงของคณะอย่างต่อเนื่อง</t>
  </si>
  <si>
    <t>3.    มีงบประมาณประจำปีที่สอดคล้องกับแผนปฎิบัติงานในแต่ละพันธกิจและการพัฒนาคณะและบุคลากร</t>
  </si>
  <si>
    <t>4.    มีการจัดทำรายงานทางการเงินอย่างเป็นระบบ และรายงานต่อ ค.กก.คณะอย่างน้อยปีละ 2 ครั้ง</t>
  </si>
  <si>
    <t>เฉลี่ยรวมทั้งหมด</t>
  </si>
  <si>
    <r>
      <rPr>
        <b/>
        <sz val="18"/>
        <color indexed="8"/>
        <rFont val="Wingdings 2"/>
        <family val="1"/>
        <charset val="2"/>
      </rPr>
      <t xml:space="preserve">  *</t>
    </r>
    <r>
      <rPr>
        <b/>
        <sz val="16"/>
        <color indexed="8"/>
        <rFont val="TH SarabunPSK"/>
        <family val="2"/>
      </rPr>
      <t xml:space="preserve">  กลุ่ม ค 1  สถาบันที่เน้นระดับบัณฑิตศึกษา</t>
    </r>
  </si>
  <si>
    <r>
      <rPr>
        <b/>
        <sz val="18"/>
        <color indexed="8"/>
        <rFont val="Wingdings 2"/>
        <family val="1"/>
        <charset val="2"/>
      </rPr>
      <t xml:space="preserve">  *</t>
    </r>
    <r>
      <rPr>
        <b/>
        <sz val="16"/>
        <color indexed="8"/>
        <rFont val="TH SarabunPSK"/>
        <family val="2"/>
      </rPr>
      <t xml:space="preserve">  กลุ่ม ค 2  สถาบันที่เน้นระดับปริญญาตรี</t>
    </r>
  </si>
  <si>
    <t>ตาราง ป 3-1</t>
  </si>
  <si>
    <t>ก. มาตรฐานด้านธรรมาภิบาลของการบริหารจัดการอุดมศึกษา</t>
  </si>
  <si>
    <t>1. มาตรฐานด้านคุณภาพบัณฑิต</t>
  </si>
  <si>
    <t>2. มาตรฐานด้านการบริหารจัดการอุดมศึกษา</t>
  </si>
  <si>
    <t>ข. มาตรฐานด้านพันธกิจของการบริหารจัดการอุดมศึกษา</t>
  </si>
  <si>
    <t>3. มาตรฐานด้านการสร้างและพัฒนาสังคมฐานความรู้และสังคมแห่งการเรียนรู้</t>
  </si>
  <si>
    <t>ตาราง ป 4-1</t>
  </si>
  <si>
    <t>เฉลี่ยรวมทุกตัวบ่งชี้ของทุกมุมมอง</t>
  </si>
  <si>
    <t>ตาราง ป 5-1</t>
  </si>
  <si>
    <t>คะแนน</t>
  </si>
  <si>
    <t>สกอ. + สมศ. (ไม่รวม KPI ม.วิจัย)</t>
  </si>
  <si>
    <t>ตัวบ่งชี้ที่ 7.5 ตัวบ่งชี้วัดผลผลิตตามตัวบ่งชี้ สมศ.</t>
  </si>
  <si>
    <t>สกอ. + สมศ. (รวม KPI ม.วิจัย)</t>
  </si>
  <si>
    <t>*  กลุ่ม ก  วิทยาลัยชุมชน</t>
  </si>
  <si>
    <t>*  กลุ่ม ค  สถาบันเฉพาะทาง</t>
  </si>
  <si>
    <t>R  กลุ่ม ข  สถาบันที่เน้นระดับปริญญาตรี</t>
  </si>
  <si>
    <t xml:space="preserve">   *  กลุ่ม ค 1  สถาบันที่เน้นระดับบัณฑิตศึกษา</t>
  </si>
  <si>
    <t xml:space="preserve">   *  กลุ่ม ค 2  สถาบันที่เน้นระดับปริญญาตรี</t>
  </si>
  <si>
    <t>*  กลุ่ม ง  สถาบันที่เน้นวิจัยขั้นสูงและผลิตบัณฑิตระดับบัณฑิตศึกษาโดยเฉพาะปริญญาเอก</t>
  </si>
  <si>
    <t>ศักยภาพด้านงานวิจัย (ม.วิจัย) (3KPI)</t>
  </si>
  <si>
    <t>อ.1-4</t>
  </si>
  <si>
    <t>อ.5-9</t>
  </si>
  <si>
    <t>ตาราง - เป้าหมายการดำเนินงานประกันคุณภาพภายใน ปีการศึกษา 2555</t>
  </si>
  <si>
    <t>ไม่ประเมิน</t>
  </si>
  <si>
    <t>คณะกรรมการประเมิน</t>
  </si>
  <si>
    <t>ตาราง ป1  ผลการประเมินรายตัวบ่งชี้ของสำนักงานคณะกรรมการการอุดมศึกษา</t>
  </si>
  <si>
    <t>ตาราง ป2 ผลการประเมินตนเองตามองค์ประกอบคุณภาพ</t>
  </si>
  <si>
    <t>ตาราง ป3 ผลการประเมินตนเองตามมาตรฐานการอุดมศึกษา</t>
  </si>
  <si>
    <t>ตาราง ป4 ผลการประเมินตนเองตามมุมมองด้านการบริหารจัดการ</t>
  </si>
  <si>
    <t>ตาราง ป5 ผลการประเมินตนเองตามมาตรฐานสถาบันอุดมศึกษา</t>
  </si>
  <si>
    <t>ข้อเสนอแนะของ ค.กก.ประเมิน
ที่เห็นต่างจากสำนัก</t>
  </si>
  <si>
    <t xml:space="preserve">7.5.2 การปฏิบัติตามบทบาทหน้าที่ของผู้บริหารสถาบัน
</t>
  </si>
  <si>
    <t>1.  มีแผนการบริหารและการพัฒนาบุคลากรสายสนับสนุนที่มีการวิเคราะห์ข้อมูลเชิงประจักษ์</t>
  </si>
  <si>
    <t>2.    มีการบริหารและการพัฒนาบุคลากรสายสนับสนุนให้เป็นไปตามแผนที่กำหนด</t>
  </si>
  <si>
    <t>3.  มีสวัสดิการเสริมสร้างสุขภาพที่ดี และสร้างขวัญและกำลังใจให้บุคลากรสายสนับสนุนสามารถทำงานได้อย่างมีประสิทธิภาพ</t>
  </si>
  <si>
    <t>4.  มีระบบการติดตามให้บุคลากรสายสนับสนุนนำความรู้และทักษะที่ได้จากการพัฒนามาใช้ในการปฏิบัติงานที่เกี่ยวข้อง</t>
  </si>
  <si>
    <t>5.  มีการให้ความรู้ด้านจรรยาบรรณบุคลากรสายสนับสนุน และดูแลควบคุมให้บุคลากรสายสนับสนุนถือปฏิบัติ</t>
  </si>
  <si>
    <t xml:space="preserve">6.    มีการประเมินผลความสำเร็จของแผนการบริหารและการพัฒนาบุคลากรสายสนับสนุน </t>
  </si>
  <si>
    <t>7.    มีการนำผลการประเมินไปปรับปรุงแผนหรือปรับปรุงการบริหารและการพัฒนาบุคลากรสายสนับสนุน</t>
  </si>
  <si>
    <t>ตัวบ่งชี้ 7.5.2 การปฏิบัติตามบทบาทหน้าที่ของผู้บริหารสถาบัน</t>
  </si>
  <si>
    <t>ตัวบ่งชี้ 7.6.1 ระบบพัฒนาบุคลากร</t>
  </si>
  <si>
    <t>-</t>
  </si>
  <si>
    <t>ข้อเสนอแนะของ ค.กก.ประเมินที่เห็นต่างจาก SAR</t>
  </si>
  <si>
    <t>ผลประเมินตามเกณฑ์ สกอ. (7 KPI)</t>
  </si>
  <si>
    <t>ผลประเมินตามเกณฑ์ สมศ. 
(ตัวบ่งชี้ที่ 13)</t>
  </si>
  <si>
    <t>ผลประเมินภาพรวมทุกตัวบ่งชี้</t>
  </si>
  <si>
    <t>คะแนนการประเมินเฉลี่ย (สำนัก)</t>
  </si>
  <si>
    <t>ตัวบ่งชี้ที่ 1.2.2 ร้อยละเฉลี่ยของบุคลากรที่เข้าร่วมกิจกรรมสาธารณประโยชน์ที่สำนักงานอธิการบดีจัดขึ้น</t>
  </si>
  <si>
    <t>บุคลากรที่เข้าร่วมกิจกรรมสาธารณประโยชน์</t>
  </si>
  <si>
    <t>ตัวบ่งชี้ที่ 1.2.3 จำนวนหน่วยงานของสำนักงานอธิการบดีที่ได้มีการแลกเปลี่ยนเรียนรู้ร่วมกับหน่วยงานอื่น</t>
  </si>
  <si>
    <t>บุคลากรทั้งหมด</t>
  </si>
  <si>
    <t>จำนวนหน่วยงานใน สนอ.ที่เข้าร่วมแลกเปลี่ยนเรียนรู้ฯ</t>
  </si>
  <si>
    <t>จำนวนหน่วยงานทั้งหมด</t>
  </si>
  <si>
    <t>ตัวบ่งชี้ 7.6.2 ระดับความพึงพอใจของบุคลากรทุกระดับต่อกระบวนการพัฒนาความรู้และทักษะของสำนักงานอธิการบดี</t>
  </si>
  <si>
    <t>ตัวบ่งชี้ที่ 7.6.3 ร้อยละของบุคลากรที่ได้รับการพัฒนาความรู้และทักษะ</t>
  </si>
  <si>
    <t>บุคลากรที่ได้รับการพัฒนาความรู้และทักษะ</t>
  </si>
  <si>
    <t>คะแนนเฉพาะตัวบ่งชี้หน่วยงาน</t>
  </si>
  <si>
    <t>คะแนนรวมทุกตัวบ่งชี้</t>
  </si>
  <si>
    <t>ผลประเมินตามเกณฑ์ของสำนัก</t>
  </si>
  <si>
    <t>(1-7)</t>
  </si>
  <si>
    <t>(1-3)</t>
  </si>
  <si>
    <t>(1-4,</t>
  </si>
  <si>
    <t>(1-6)</t>
  </si>
  <si>
    <r>
      <t>1.    ค.กก.คณะปฏิบัติหน้าที่ตามที่กฎหมายกำหนดครบถ้วนและ</t>
    </r>
    <r>
      <rPr>
        <b/>
        <u/>
        <sz val="18"/>
        <color indexed="10"/>
        <rFont val="TH SarabunPSK"/>
        <family val="2"/>
      </rPr>
      <t>มีการประเมินตนเอง</t>
    </r>
    <r>
      <rPr>
        <b/>
        <sz val="18"/>
        <color indexed="8"/>
        <rFont val="TH SarabunPSK"/>
        <family val="2"/>
      </rPr>
      <t>ตามหลักเกณฑ์ที่กำหนดล่วงหน้า</t>
    </r>
  </si>
  <si>
    <t>กลุ่มสำนัก</t>
  </si>
  <si>
    <t>จำนวนตัวบ่งชี้</t>
  </si>
  <si>
    <t>สำนักงานอธิการบดี</t>
  </si>
  <si>
    <t>สำนักวิทยบริการ</t>
  </si>
  <si>
    <t>สำนักคอมพิวเตอร์ฯ</t>
  </si>
  <si>
    <r>
      <t>7. </t>
    </r>
    <r>
      <rPr>
        <b/>
        <u/>
        <sz val="18"/>
        <color indexed="10"/>
        <rFont val="TH SarabunPSK"/>
        <family val="2"/>
      </rPr>
      <t xml:space="preserve"> ค.กก.คณะประเมินผลการบริหารงานของคณะและผู้บริหาร</t>
    </r>
    <r>
      <rPr>
        <b/>
        <sz val="18"/>
        <color indexed="8"/>
        <rFont val="TH SarabunPSK"/>
        <family val="2"/>
      </rPr>
      <t>นำผลการประเมินไป</t>
    </r>
    <r>
      <rPr>
        <b/>
        <u/>
        <sz val="18"/>
        <color indexed="10"/>
        <rFont val="TH SarabunPSK"/>
        <family val="2"/>
      </rPr>
      <t>ปรับปรุงการบริหารงานอย่างเป็นรูปธรรม</t>
    </r>
    <r>
      <rPr>
        <b/>
        <sz val="18"/>
        <color indexed="8"/>
        <rFont val="TH SarabunPSK"/>
        <family val="2"/>
      </rPr>
      <t xml:space="preserve"> </t>
    </r>
  </si>
  <si>
    <t>ตัวบ่งชี้ที่ 1.2.1  ระดับความพึงพอใจของผู้รับบริการต่อการให้บริการของสำนักงานอธิการบดี</t>
  </si>
  <si>
    <t>ตัวบ่งชี้ที่ 1.2 ตัวบ่งชี้อัตลักษณ์ (สนอ.)</t>
  </si>
  <si>
    <t>ตัวบ่งชี้ที่ 1.2 ตัวบ่งชี้อัตลักษณ์ (สน.วิทยบริการ)</t>
  </si>
  <si>
    <t>1.2.1 ร้อยละความสอดคล้องของทรัพยากรในสำนักวิทยบริการตามโครงสร้างรายวิชาและแผนการสอน (มคอ.3) เฉพาะที่มีการเรียนการสอนในปีการศึกษานั้น</t>
  </si>
  <si>
    <t>1.2.2 ระดับความพึงพอใจของผู้ใช้บริการต่อการให้บริการของสำนักวิทยบริการ</t>
  </si>
  <si>
    <t>1.2.3 ร้อยละของผู้ใช้บริการที่เข้าร่วมกิจกรรมส่งเสริมการรู้สารสนเทศและการเรียนรู้ตลอดชีวิต</t>
  </si>
  <si>
    <t>1.2.4 ร้อยละที่เพิ่มขึ้นของผู้ใช้บริการทรัพยากรอิเล็กทรอนิกส์</t>
  </si>
  <si>
    <t>1.2.5 จำนวนสื่อการเรียนรู้ที่พัฒนาและสอดคล้องกับโครงสร้างรายวิชาและแผนการสอน (มคอ.3)</t>
  </si>
  <si>
    <t>ตัวบ่งชี้ที่ 1.2 ตัวบ่งชี้อัตลักษณ์ (สน.คอมพิวเตอร์)</t>
  </si>
  <si>
    <t>ตัวบ่งชี้ที่ 1.2.1 ระบบสารสนเทศเพื่อการบริการมหาวิทยาลัย</t>
  </si>
  <si>
    <t>ตัวบ่งชี้ที่ 1.2.2 ระดับความสำเร็จของการรักษาความปลอดภัยของระบบเครือข่ายมหาวิทยาลัย (Security)</t>
  </si>
  <si>
    <t>ตัวบ่งชี้ที่ 1.2.3 ระดับความพึงพอใจของผู้รับบริการ</t>
  </si>
  <si>
    <t>ตัวบ่งชี้ที่ 1.2.4 ระดับความสำเร็จของการบริการวิชาการ</t>
  </si>
  <si>
    <t>ตัวบ่งชี้ที่ 7.6 ตัวบ่งชี้ตามภารกิจ (สนอ.)</t>
  </si>
  <si>
    <t>ตัวบ่งชี้ที่ 7.6 ตัวบ่งชี้ตามภารกิจ (สน.วิทยบริการ)</t>
  </si>
  <si>
    <t>ตัวบ่งชี้ที่ 7.6 ตัวบ่งชี้ตามภารกิจ (สน.คอมพิวเตอร์)</t>
  </si>
  <si>
    <t>ตัวบ่งชี้ 7.6.2 ระดับความพึงพอใจของผู้ใช้ฐานข้อมูลกลางของมหาวิทยาลัย</t>
  </si>
  <si>
    <t>ตัวบ่งชี้ 7.6.3 จำนวนระบบสารสนเทศที่กำกับดูแลเพื่อการบริการของมหาวิทยาลัย</t>
  </si>
  <si>
    <t>ตัวบ่งชี้ 7.6.4 ระดับความสำเร็จการพัฒนาระบบสารสนเทศเพื่อการบริหารจัดการในสำนักคอมพิวเตอร์และเครือข่าย</t>
  </si>
  <si>
    <t>ตัวบ่งชี้ 7.6.5 ระดับความพึงพอใจของผู้ใช้ระบบเครือข่าย</t>
  </si>
  <si>
    <t>ตัวบ่งชี้ 7.6.6 ระดับความสำเร็จของการใช้งานเครือข่ายไร้สาย</t>
  </si>
  <si>
    <t>ตัวบ่งชี้ 7.6.7 ระดับความพึงพอใจของผู้เข้ารับการอบรมทุกหลักสูตรโครงการฝึกอบรมและถ่ายทอดเทคโนโลยี</t>
  </si>
  <si>
    <t>ตัวบ่งชี้ 7.6.8 ระดับความสำเร็จการให้บริการซ่อมบำรุงคอมพิวเตอร์และอุปกรณ์ต่อพ่วง</t>
  </si>
  <si>
    <t>ตัวบ่งชี้ 7.6.9 ระดับความพึงพอใจของผู้ใช้งานห้องปฏิบัติการคอมพิวเตอร์</t>
  </si>
  <si>
    <t>ตัวบ่งชี้อัตลักษณ์ (สำนักงานอธิการบดี)</t>
  </si>
  <si>
    <t>ตัวบ่งชี้อัตลักษณ์ (สำนักวิทยบริการ)</t>
  </si>
  <si>
    <t>ตัวบ่งชี้อัตลักษณ์ (สำนักคอมพิวเตอร์ฯ)</t>
  </si>
  <si>
    <t>ตัวบ่งชี้ตามภารกิจหลัก (สำนักงานอธิการบดี)</t>
  </si>
  <si>
    <t>ตัวบ่งชี้ตามภารกิจหลัก (สำนักวิทยบริการ)</t>
  </si>
  <si>
    <t>ตัวบ่งชี้ตามภารกิจหลัก (สำนักคอมพิวเตอร์ฯ)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</si>
  <si>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>มีแผนการดำเนินงานพัฒนาระบบสารสนเทศเพื่อการบริหารจัดการภายในสำนักคอมพิวเตอร์และเครือข่าย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</si>
  <si>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>มีการพัฒนาระบบสารสนเทศเพื่อการบริหารจัดการภายในสำนักคอมพิวเตอร์และเครือข่าย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</si>
  <si>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>มีการนำระบบสารสนเทศไปใช้งานที่เชื่อมโยงกระบวนการบริหารจัดการภายในสำนักคอมพิวเตอร์และเครือข่าย</t>
    </r>
  </si>
  <si>
    <r>
      <t>4.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>มีการประเมินผลระดับความพึงใจผู้ใช้ระบบสารสนเทศเพื่อการบริหารจัดการภายในสำนักคอมพิวเตอร์และเครือข่าย</t>
    </r>
  </si>
  <si>
    <r>
      <t>5.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>มีการนำผลการประเมินไปปรับปรุง และจัดทำรายงานและนำเสนอต่อผู้บริหาร</t>
    </r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</si>
  <si>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>มีแผนปฏิบัติงาน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</si>
  <si>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>มีจำนวน Access Point ที่สามารถใช้งานได้ ไม่น้อยกว่าร้อยละ 80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</si>
  <si>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>บันทึกสถิติการใช้งานเครือข่ายไร้สาย</t>
    </r>
  </si>
  <si>
    <r>
      <t>4.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>มีการประเมินความพึงพอใจของผู้ใช้งานระบบเครือข่าย</t>
    </r>
  </si>
  <si>
    <r>
      <t>5.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>มีการนำการประเมินความพึงพอใจไปปรับปรุง และจัดทำรายงานเสนอต่อผู้บริหาร</t>
    </r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</si>
  <si>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>มีแผนปฏิบัติงานการให้บริการซ่อมบำรุงคอมพิวเตอร์และอุปกรณ์ต่อพ่วง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</si>
  <si>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>มีการดำเนินงานโครงการ/กิจกรรมการให้บริการซ่อมบำรุงและอุปกรณ์ต่อพ่วง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</si>
  <si>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>มีสถิติการให้บริการซ่อมบำรุงและอุปกรณ์ต่อพ่วงรายงานต่อผู้บริหาร</t>
    </r>
  </si>
  <si>
    <r>
      <t>4.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>มีการประเมินความพึงพอใจของผู้ใช้บริการซ่อมบำรุงและอุปกรณ์ต่อพ่วง</t>
    </r>
  </si>
  <si>
    <r>
      <t>5.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>มีการนำการประเมินความพึงพอใจไปปรับปรุงและจัดทำรายงานเสนอต่อผู้บริหาร</t>
    </r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</si>
  <si>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>มีโครงการพัฒนาระบบข้อมูลกลางบรรจุในแผนปฏิบัติงานที่สอดคล้องกับยุทธศาสตร์ของหน่วยงาน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</si>
  <si>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>มีฐานข้อมูลกลางที่ครอบคลุมด้านการจัดการเรียนการสอน การบริหารจัดการ บุคลากร วิจัย การเงิน และประกันคุณภาพ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</si>
  <si>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>มีการติดตามรายงานความคืบหน้าการดำเนินงาน</t>
    </r>
  </si>
  <si>
    <r>
      <t>4.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>มีการจัดอบรมให้ความรู้การใช้งานระบบฐานข้อมูลกลาง</t>
    </r>
  </si>
  <si>
    <r>
      <t>5.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>มีการประเมินประสิทธิภาพ หรือความพึงพอใจผู้ใช้งานระบบฐานข้อมูลกลาง</t>
    </r>
  </si>
  <si>
    <r>
      <t>6.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>มีการนำผลการประเมินระบบฐานข้อมูลกลางไปปรับปรุง</t>
    </r>
  </si>
  <si>
    <r>
      <t>7.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>มีการรักษาความปลอดภัยของข้อมูลที่ครอบคลุมระบบฐานข้อมูลกลาง</t>
    </r>
  </si>
  <si>
    <r>
      <t>8.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>จัดทำรายงานและเสนอต่อผู้บริหาร</t>
    </r>
  </si>
  <si>
    <t>1.  มีแผนปฏิบัติงานการพัฒนาเครือข่ายบรรจุในแผนปฏิบัติงานประจำปี</t>
  </si>
  <si>
    <t>2.  มีเครื่องมือสำหรับป้องกันและรักษาความปลอดภัยระบบเครือข่าย</t>
  </si>
  <si>
    <t>3.  ติดตามเฝ้าระวังการใช้งานระบบเครือข่าย</t>
  </si>
  <si>
    <t>4. ปรับปรุง หรือกำหนดค่าความปลอดภัยระบบเครือข่าย</t>
  </si>
  <si>
    <t>5. จัดทำรายงานและเสนอต่อผู้บริหาร</t>
  </si>
  <si>
    <t>1.  มีโครงการการบริการวิชาการบรรจุในแผนปฏิบัติงานประจำปี</t>
  </si>
  <si>
    <t>2.  มีการกำหนดประเด็นและกลุ่มเป้าหมายการบริการวิชาการตามภารกิจหลักของหน่วยงาน</t>
  </si>
  <si>
    <t>3.  ดำเนินงานโครงการบริการวิชาการตามแผน</t>
  </si>
  <si>
    <t>4.  มีการติดตามรายงานความคืบหน้าการดำเนินงานบริการวิชาการ</t>
  </si>
  <si>
    <t>5.  จัดทำรายงานสรุปผลการดำเนินงานโครงการเสนอต่อผู้บริหาร</t>
  </si>
  <si>
    <t>2.  มีการกำหนดนโยบายและให้ความสำคัญเรื่องการประกันคุณภาพการศึกษาภายใน โดยคณะกรรมการระดับนโยบายและผู้บริหารสำนัก</t>
  </si>
  <si>
    <t>3.    มีการกำหนดตัวบ่งชี้เพิ่มเติมตามอัตลักษณ์ของสำนัก</t>
  </si>
  <si>
    <t>7.  มีส่วนร่วมของผู้มีส่วนได้ส่วนเสียในการประกันคุณภาพการศึกษา โดยเฉพาะนักศึกษา ผู้ใช้บัณฑิต และผู้ใช้บริการตามพันธกิจของสำนัก</t>
  </si>
  <si>
    <t>แบบรายงานผลการดำเนินงานประกันคุณภาพภายใน  ปีการศึกษา 2556</t>
  </si>
  <si>
    <t>จำนวนทรัพยากรที่สอดคล้องกับรายวิชาที่เปิดสอน</t>
  </si>
  <si>
    <t>จำนวนตำราหลักที่ระบุในรายวิชาที่เปิดสอนตาม มคอ.3</t>
  </si>
  <si>
    <t>จำนวนนักศึกษาที่เข้าร่วมกิจกรรมรวมทุกระดับ ปีการศึกษา 2556</t>
  </si>
  <si>
    <t>จำนวนนักศึกษารวมทุกระดับ ปีการศึกษา 2556</t>
  </si>
  <si>
    <t>,ฐานข้อมูล online</t>
  </si>
  <si>
    <t>เข้าชม website</t>
  </si>
  <si>
    <t>ฐานข้อมูลท้องถิ่น</t>
  </si>
  <si>
    <t>จำนวนผู้ใช้บริการทรัพยากรอิเล็กทรอนิกส์ ปี 2555</t>
  </si>
  <si>
    <t>จำนวนผู้ใช้บริการทรัพยากรอิเล็กทรอนิกส์ ปี 2556</t>
  </si>
  <si>
    <t>สรุปผลประเมินในภาพรวม</t>
  </si>
  <si>
    <t>ประเมินตนเอง</t>
  </si>
  <si>
    <t>ทุกหน่วยงานไม่พบการกำหนดเกณฑ์การประเมินตนเองล่วงหน้าก่อนการประเมิน
สน.วิทยฯ และ สน.คอม ไม่ระบุหน้าที่ในคำสั่งแต่งตั้งคณะกรรมการฯ</t>
  </si>
  <si>
    <t>สนอ.-การถ่ายทอดวิสัยทัศน์ และทิศทางองค์กรไปยังบุคลากรทุกระดับไม่ชัดเจน 
สน.คอมฯ - เพิ่มข้อมูลระบบสารสนเทศที่สนับสนุนการปฏิบัติงานภายในสำนัก</t>
  </si>
  <si>
    <t>สน.วิทยฯ ไม่ประเมินการบริหารงานด้วยหลักธรรมาภิบาลให้ครบทั้ง 10 ประเด็น</t>
  </si>
  <si>
    <t>สนอ.-ไม่พบการประเมินและนำผลการประเมินไปปรับปรุงการบริหารงานอย่างเป็นรูปธรรม
สนวิทยฯ-มีการประเมินผลแต่ไม่พบการนำผลการประเมินไปปรับปรุงการบริหารงานอย่างเป็นรูปธรรม</t>
  </si>
  <si>
    <t>สน.วิทยฯ-การกำหนดประเด็นการจัดการความรู้ไม่ชัดเจน เช่น กำหนดประเด็น เรื่อง การนำเทคโนโลยีสารสนเทศมาใช้ในการปฏิบัติงานประจำ แต่เป็นการดำเนินงานด้าน ระบบสารสนเทศเพื่อรายงานผลการปฏิบัติงาน</t>
  </si>
  <si>
    <t>พบว่าเขียนแผนระบบสารสนเทศไม่ชัด ควรปรับแก้รายงานการประเมินตนเอง ให้สอดคล้อง</t>
  </si>
  <si>
    <t xml:space="preserve"> /</t>
  </si>
  <si>
    <t xml:space="preserve"> - สนอ. ขาดการถ่ายทอดแผนฯ ไปสู่ระดับผู้ปฏิบัติการอย่างทั่วถึง</t>
  </si>
  <si>
    <t xml:space="preserve">ข้อสังเกต 7.3 ควรต้องมีความเชื่อมโยง </t>
  </si>
  <si>
    <t>2. ต้องมีความครอบคลุมระบบสารสนเทศทั้งสำนักงาน</t>
  </si>
  <si>
    <t>4. มีการนำผลประเมินในข้อ 3 มาใช้ในการประเมินทุกระบบ</t>
  </si>
  <si>
    <t>3. ควรมีการประเมินระบบสารสนเทศที่เชื่อมโยงตามข้อ 2 ทุกระบบ</t>
  </si>
  <si>
    <r>
      <t>1.  มีการจัดทำแผนกลยุทธ์ที่สอดคล้องกับนโยบายของสภาสถาบัน</t>
    </r>
    <r>
      <rPr>
        <b/>
        <sz val="16"/>
        <color rgb="FFFF0000"/>
        <rFont val="TH SarabunPSK"/>
        <family val="2"/>
      </rPr>
      <t xml:space="preserve"> โดยการมีส่วนร่วมของบุคลากร</t>
    </r>
    <r>
      <rPr>
        <b/>
        <sz val="16"/>
        <color indexed="8"/>
        <rFont val="TH SarabunPSK"/>
        <family val="2"/>
      </rPr>
      <t>ในสถาบันและได้รับความเห็นชอบจากสภาสถาบัน โดยเป็นแผนที่เชื่อมโยงกับปรัชญาหรือปณิธานและพระราชบัญญัติสถาบัน  ตลอดจนสอดคล้องกับจุดเน้นของกลุ่มสถาบัน กรอบแผนอุดมศึกษาระยะยาว 15 ปี ฉบับที่ 2 (พ.ศ. 2551–2565) และแผนพัฒนาการศึกษาระดับอุดมศึกษา ฉบับที่ 10 (พ.ศ. 2551 – 2554)</t>
    </r>
  </si>
  <si>
    <r>
      <t>2.  มีระบบสารสนเทศเพื่อการบริหารและการตัดสินใจตามพันธกิจของสถาบัน โดยอย่างน้อยต้องครอบคลุมการจัดการเรียนการสอน การวิจัย</t>
    </r>
    <r>
      <rPr>
        <b/>
        <sz val="16"/>
        <color rgb="FFFF0000"/>
        <rFont val="TH SarabunPSK"/>
        <family val="2"/>
      </rPr>
      <t xml:space="preserve"> การบริหารจัดการ และการเงิน</t>
    </r>
    <r>
      <rPr>
        <b/>
        <sz val="16"/>
        <color indexed="8"/>
        <rFont val="TH SarabunPSK"/>
        <family val="2"/>
      </rPr>
      <t>และสามารถนำไปใช้ในการดำเนินงานประกันคุณภาพ</t>
    </r>
  </si>
  <si>
    <r>
      <rPr>
        <b/>
        <u/>
        <sz val="18"/>
        <rFont val="TH SarabunPSK"/>
        <family val="2"/>
      </rPr>
      <t xml:space="preserve">สนอ. </t>
    </r>
    <r>
      <rPr>
        <sz val="18"/>
        <rFont val="TH SarabunPSK"/>
        <family val="2"/>
      </rPr>
      <t xml:space="preserve">
 - การจัดทำแผนไม่ครอบคลุมตามภารกิจขององค์กร
-  ขาดการมีส่วนร่วมของบุคลากรระดับของผู้ปฏิบัติการ</t>
    </r>
  </si>
  <si>
    <r>
      <rPr>
        <b/>
        <sz val="18"/>
        <rFont val="TH SarabunPSK"/>
        <family val="2"/>
      </rPr>
      <t>สน.คอม</t>
    </r>
    <r>
      <rPr>
        <sz val="18"/>
        <rFont val="TH SarabunPSK"/>
        <family val="2"/>
      </rPr>
      <t>-องค์ความรู้ที่นำมาใช้ไม่สอดคล้องกับประเด็นที่กำหนดในข้อ 1 และไม่มีหลักฐานว่าองค์ความรู้ที่นำมาใช้นั้นเป็นองค์ความรู้ที่ผ่านการจัดการความรู้ของสำนักในปีที่ผ่านมา</t>
    </r>
  </si>
  <si>
    <r>
      <rPr>
        <b/>
        <u/>
        <sz val="18"/>
        <rFont val="TH SarabunPSK"/>
        <family val="2"/>
      </rPr>
      <t>สน.วิทยฯ และ สน.คอม</t>
    </r>
    <r>
      <rPr>
        <sz val="18"/>
        <rFont val="TH SarabunPSK"/>
        <family val="2"/>
      </rPr>
      <t xml:space="preserve"> มีแผนกลยุทธ์ทางการเงินแต่ไม่สอดคล้องกับแผนกลยุทธ์ของสถาบัน ไม่ได้แสดงงบประมาณของแผนกลยุทธ์ และรายได้ที่จะได้รับจากการดำเนินการตามแผนกลยุทธ์ทางการเงิน</t>
    </r>
  </si>
  <si>
    <r>
      <rPr>
        <b/>
        <u/>
        <sz val="18"/>
        <rFont val="TH SarabunPSK"/>
        <family val="2"/>
      </rPr>
      <t>สน.วิทยฯ</t>
    </r>
    <r>
      <rPr>
        <sz val="18"/>
        <rFont val="TH SarabunPSK"/>
        <family val="2"/>
      </rPr>
      <t>- แนบหลักฐานไม่สอดคล้องกับเกณฑ์</t>
    </r>
  </si>
  <si>
    <r>
      <rPr>
        <b/>
        <u/>
        <sz val="18"/>
        <rFont val="TH SarabunPSK"/>
        <family val="2"/>
      </rPr>
      <t>สน.คอม-</t>
    </r>
    <r>
      <rPr>
        <sz val="18"/>
        <rFont val="TH SarabunPSK"/>
        <family val="2"/>
      </rPr>
      <t>การจัดทำรายงานทางการเงินยังไม่เป็นระบบที่ชัดเจน</t>
    </r>
  </si>
  <si>
    <r>
      <rPr>
        <b/>
        <u/>
        <sz val="18"/>
        <rFont val="TH SarabunPSK"/>
        <family val="2"/>
      </rPr>
      <t>สน.วิทยฯ</t>
    </r>
    <r>
      <rPr>
        <sz val="18"/>
        <rFont val="TH SarabunPSK"/>
        <family val="2"/>
      </rPr>
      <t>-ไม่ชัดเจนว่ามีการวิเคราะห์สถานะทางการเงินและความมั่นคงของคณะอย่างต่อเนื่อง</t>
    </r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</si>
</sst>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87" formatCode="[&lt;=99999999][$-D000000]0\-####\-####;[$-D000000]#\-####\-####"/>
    <numFmt numFmtId="188" formatCode="_-* #,##0_-;\-* #,##0_-;_-* &quot;-&quot;??_-;_-@_-"/>
  </numFmts>
  <fonts count="70"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8"/>
      <name val="Tahoma"/>
      <family val="2"/>
      <charset val="222"/>
    </font>
    <font>
      <b/>
      <sz val="16"/>
      <name val="TH SarabunPSK"/>
      <family val="2"/>
    </font>
    <font>
      <sz val="18"/>
      <name val="TH SarabunPSK"/>
      <family val="2"/>
    </font>
    <font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7"/>
      <name val="TH SarabunPSK"/>
      <family val="2"/>
    </font>
    <font>
      <b/>
      <u/>
      <sz val="15"/>
      <name val="TH SarabunPSK"/>
      <family val="2"/>
    </font>
    <font>
      <b/>
      <sz val="15"/>
      <name val="TH SarabunPSK"/>
      <family val="2"/>
    </font>
    <font>
      <b/>
      <sz val="18"/>
      <color indexed="8"/>
      <name val="TH SarabunPSK"/>
      <family val="2"/>
    </font>
    <font>
      <b/>
      <sz val="14"/>
      <name val="TH SarabunPSK"/>
      <family val="2"/>
    </font>
    <font>
      <b/>
      <sz val="15"/>
      <color indexed="8"/>
      <name val="TH SarabunPSK"/>
      <family val="2"/>
    </font>
    <font>
      <b/>
      <sz val="20"/>
      <name val="TH SarabunPSK"/>
      <family val="2"/>
    </font>
    <font>
      <b/>
      <sz val="20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Wingdings 2"/>
      <family val="1"/>
      <charset val="2"/>
    </font>
    <font>
      <b/>
      <sz val="18"/>
      <color indexed="8"/>
      <name val="Wingdings 2"/>
      <family val="1"/>
      <charset val="2"/>
    </font>
    <font>
      <b/>
      <sz val="12.8"/>
      <color indexed="8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b/>
      <sz val="26"/>
      <name val="TH SarabunPSK"/>
      <family val="2"/>
    </font>
    <font>
      <sz val="26"/>
      <name val="TH SarabunPSK"/>
      <family val="2"/>
    </font>
    <font>
      <sz val="26"/>
      <color indexed="8"/>
      <name val="TH SarabunPSK"/>
      <family val="2"/>
    </font>
    <font>
      <b/>
      <i/>
      <sz val="16"/>
      <color indexed="8"/>
      <name val="TH SarabunPSK"/>
      <family val="2"/>
    </font>
    <font>
      <b/>
      <sz val="22"/>
      <name val="TH SarabunPSK"/>
      <family val="2"/>
    </font>
    <font>
      <b/>
      <sz val="24"/>
      <name val="TH SarabunPSK"/>
      <family val="2"/>
    </font>
    <font>
      <sz val="24"/>
      <name val="TH SarabunPSK"/>
      <family val="2"/>
    </font>
    <font>
      <sz val="14"/>
      <name val="TH SarabunPSK"/>
      <family val="2"/>
    </font>
    <font>
      <b/>
      <sz val="22"/>
      <color indexed="8"/>
      <name val="TH SarabunPSK"/>
      <family val="2"/>
    </font>
    <font>
      <sz val="20"/>
      <name val="TH SarabunPSK"/>
      <family val="2"/>
    </font>
    <font>
      <sz val="22"/>
      <name val="TH SarabunPSK"/>
      <family val="2"/>
    </font>
    <font>
      <b/>
      <sz val="14"/>
      <color rgb="FFFFFF00"/>
      <name val="TH SarabunPSK"/>
      <family val="2"/>
    </font>
    <font>
      <b/>
      <sz val="16"/>
      <color rgb="FF0000FF"/>
      <name val="TH SarabunPSK"/>
      <family val="2"/>
    </font>
    <font>
      <b/>
      <sz val="18"/>
      <color rgb="FF0000FF"/>
      <name val="TH SarabunPSK"/>
      <family val="2"/>
    </font>
    <font>
      <b/>
      <sz val="14"/>
      <color rgb="FF0000FF"/>
      <name val="TH SarabunPSK"/>
      <family val="2"/>
    </font>
    <font>
      <b/>
      <sz val="14"/>
      <color rgb="FFFF0000"/>
      <name val="TH SarabunPSK"/>
      <family val="2"/>
    </font>
    <font>
      <b/>
      <sz val="18"/>
      <color rgb="FFFF0000"/>
      <name val="TH SarabunPSK"/>
      <family val="2"/>
    </font>
    <font>
      <b/>
      <sz val="18"/>
      <color rgb="FFC00000"/>
      <name val="TH SarabunPSK"/>
      <family val="2"/>
    </font>
    <font>
      <b/>
      <sz val="15"/>
      <color rgb="FF0000FF"/>
      <name val="TH SarabunPSK"/>
      <family val="2"/>
    </font>
    <font>
      <b/>
      <sz val="24"/>
      <color theme="0"/>
      <name val="TH SarabunPSK"/>
      <family val="2"/>
    </font>
    <font>
      <b/>
      <sz val="16"/>
      <color rgb="FF0000CC"/>
      <name val="TH SarabunPSK"/>
      <family val="2"/>
    </font>
    <font>
      <b/>
      <sz val="26"/>
      <color theme="0"/>
      <name val="TH SarabunPSK"/>
      <family val="2"/>
    </font>
    <font>
      <b/>
      <sz val="20"/>
      <color theme="0"/>
      <name val="TH SarabunPSK"/>
      <family val="2"/>
    </font>
    <font>
      <b/>
      <sz val="18"/>
      <color theme="0"/>
      <name val="TH SarabunPSK"/>
      <family val="2"/>
    </font>
    <font>
      <b/>
      <sz val="16"/>
      <color theme="0"/>
      <name val="TH SarabunPSK"/>
      <family val="2"/>
    </font>
    <font>
      <b/>
      <sz val="14"/>
      <color theme="0"/>
      <name val="TH SarabunPSK"/>
      <family val="2"/>
    </font>
    <font>
      <b/>
      <sz val="18"/>
      <color rgb="FFFFFF00"/>
      <name val="TH SarabunPSK"/>
      <family val="2"/>
    </font>
    <font>
      <b/>
      <sz val="28"/>
      <color rgb="FFFF0000"/>
      <name val="TH SarabunPSK"/>
      <family val="2"/>
    </font>
    <font>
      <i/>
      <sz val="14"/>
      <name val="TH SarabunPSK"/>
      <family val="2"/>
    </font>
    <font>
      <b/>
      <sz val="22"/>
      <color theme="0"/>
      <name val="TH SarabunPSK"/>
      <family val="2"/>
    </font>
    <font>
      <b/>
      <sz val="22"/>
      <color rgb="FFC00000"/>
      <name val="TH SarabunPSK"/>
      <family val="2"/>
    </font>
    <font>
      <sz val="14"/>
      <color indexed="8"/>
      <name val="TH SarabunPSK"/>
      <family val="2"/>
    </font>
    <font>
      <b/>
      <sz val="18"/>
      <color rgb="FF002060"/>
      <name val="TH SarabunPSK"/>
      <family val="2"/>
    </font>
    <font>
      <b/>
      <u/>
      <sz val="18"/>
      <color indexed="10"/>
      <name val="TH SarabunPSK"/>
      <family val="2"/>
    </font>
    <font>
      <b/>
      <sz val="16"/>
      <color rgb="FF002060"/>
      <name val="TH SarabunPSK"/>
      <family val="2"/>
    </font>
    <font>
      <b/>
      <sz val="20"/>
      <color rgb="FF0000FF"/>
      <name val="TH SarabunPSK"/>
      <family val="2"/>
    </font>
    <font>
      <sz val="7"/>
      <color indexed="8"/>
      <name val="Times New Roman"/>
      <family val="1"/>
    </font>
    <font>
      <b/>
      <sz val="28"/>
      <color indexed="8"/>
      <name val="TH SarabunPSK"/>
      <family val="2"/>
    </font>
    <font>
      <b/>
      <sz val="28"/>
      <name val="TH SarabunPSK"/>
      <family val="2"/>
    </font>
    <font>
      <sz val="26"/>
      <color rgb="FFFF0000"/>
      <name val="TH SarabunPSK"/>
      <family val="2"/>
    </font>
    <font>
      <b/>
      <sz val="20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24"/>
      <color rgb="FFFF0000"/>
      <name val="TH SarabunPSK"/>
      <family val="2"/>
    </font>
    <font>
      <b/>
      <sz val="26"/>
      <color rgb="FFFF0000"/>
      <name val="TH SarabunPSK"/>
      <family val="2"/>
    </font>
    <font>
      <b/>
      <u/>
      <sz val="18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gray125">
        <bgColor theme="0"/>
      </patternFill>
    </fill>
    <fill>
      <patternFill patternType="solid">
        <fgColor theme="4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rgb="FFC0000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rgb="FFC00000"/>
      </left>
      <right style="thick">
        <color rgb="FFC00000"/>
      </right>
      <top style="thin">
        <color indexed="64"/>
      </top>
      <bottom/>
      <diagonal/>
    </border>
    <border>
      <left style="thick">
        <color rgb="FFC00000"/>
      </left>
      <right style="thick">
        <color rgb="FFC00000"/>
      </right>
      <top style="hair">
        <color indexed="64"/>
      </top>
      <bottom style="hair">
        <color indexed="64"/>
      </bottom>
      <diagonal/>
    </border>
    <border>
      <left style="thick">
        <color rgb="FFC00000"/>
      </left>
      <right style="thick">
        <color rgb="FFC00000"/>
      </right>
      <top style="hair">
        <color indexed="64"/>
      </top>
      <bottom/>
      <diagonal/>
    </border>
    <border>
      <left style="thick">
        <color rgb="FFC00000"/>
      </left>
      <right style="thick">
        <color rgb="FFC00000"/>
      </right>
      <top style="hair">
        <color rgb="FFC00000"/>
      </top>
      <bottom style="hair">
        <color indexed="64"/>
      </bottom>
      <diagonal/>
    </border>
    <border>
      <left style="thick">
        <color rgb="FFC00000"/>
      </left>
      <right style="thick">
        <color rgb="FFC00000"/>
      </right>
      <top/>
      <bottom style="hair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/>
      <diagonal/>
    </border>
    <border>
      <left style="thick">
        <color rgb="FFC00000"/>
      </left>
      <right style="thin">
        <color indexed="64"/>
      </right>
      <top/>
      <bottom style="thin">
        <color indexed="64"/>
      </bottom>
      <diagonal/>
    </border>
    <border>
      <left/>
      <right style="thick">
        <color rgb="FFC00000"/>
      </right>
      <top style="hair">
        <color indexed="64"/>
      </top>
      <bottom style="hair">
        <color indexed="64"/>
      </bottom>
      <diagonal/>
    </border>
    <border>
      <left/>
      <right style="thick">
        <color rgb="FFC00000"/>
      </right>
      <top/>
      <bottom style="hair">
        <color indexed="64"/>
      </bottom>
      <diagonal/>
    </border>
    <border>
      <left style="thick">
        <color rgb="FFC0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ck">
        <color rgb="FFC00000"/>
      </left>
      <right style="thin">
        <color auto="1"/>
      </right>
      <top/>
      <bottom style="hair">
        <color indexed="64"/>
      </bottom>
      <diagonal/>
    </border>
    <border>
      <left style="thick">
        <color rgb="FFC00000"/>
      </left>
      <right style="thin">
        <color auto="1"/>
      </right>
      <top style="hair">
        <color indexed="64"/>
      </top>
      <bottom/>
      <diagonal/>
    </border>
    <border>
      <left style="thick">
        <color rgb="FFC00000"/>
      </left>
      <right style="thin">
        <color auto="1"/>
      </right>
      <top style="hair">
        <color rgb="FFC00000"/>
      </top>
      <bottom style="hair">
        <color indexed="64"/>
      </bottom>
      <diagonal/>
    </border>
    <border>
      <left style="thick">
        <color rgb="FFC00000"/>
      </left>
      <right style="thin">
        <color auto="1"/>
      </right>
      <top/>
      <bottom/>
      <diagonal/>
    </border>
    <border>
      <left style="thick">
        <color rgb="FFC00000"/>
      </left>
      <right style="thick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5">
    <xf numFmtId="0" fontId="0" fillId="0" borderId="0" xfId="0"/>
    <xf numFmtId="0" fontId="14" fillId="0" borderId="0" xfId="0" applyFont="1" applyBorder="1" applyAlignment="1">
      <alignment horizontal="center" vertical="center"/>
    </xf>
    <xf numFmtId="0" fontId="13" fillId="0" borderId="0" xfId="0" applyFont="1"/>
    <xf numFmtId="0" fontId="14" fillId="2" borderId="1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center" vertical="top"/>
    </xf>
    <xf numFmtId="2" fontId="14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top" wrapText="1" shrinkToFit="1"/>
    </xf>
    <xf numFmtId="0" fontId="14" fillId="3" borderId="1" xfId="0" applyFont="1" applyFill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left" vertical="top" wrapText="1" shrinkToFit="1"/>
    </xf>
    <xf numFmtId="0" fontId="14" fillId="4" borderId="1" xfId="0" applyFont="1" applyFill="1" applyBorder="1" applyAlignment="1">
      <alignment horizontal="left" vertical="top" wrapText="1" shrinkToFit="1"/>
    </xf>
    <xf numFmtId="0" fontId="9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2" fontId="9" fillId="0" borderId="1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18" fillId="0" borderId="0" xfId="0" applyFont="1"/>
    <xf numFmtId="0" fontId="9" fillId="3" borderId="1" xfId="0" applyFont="1" applyFill="1" applyBorder="1" applyAlignment="1">
      <alignment horizontal="center" vertical="top"/>
    </xf>
    <xf numFmtId="0" fontId="13" fillId="3" borderId="0" xfId="0" applyFont="1" applyFill="1" applyBorder="1"/>
    <xf numFmtId="0" fontId="18" fillId="3" borderId="0" xfId="0" applyFont="1" applyFill="1" applyBorder="1"/>
    <xf numFmtId="0" fontId="13" fillId="0" borderId="0" xfId="0" applyFont="1" applyBorder="1"/>
    <xf numFmtId="0" fontId="18" fillId="0" borderId="0" xfId="0" applyFont="1" applyBorder="1"/>
    <xf numFmtId="2" fontId="9" fillId="4" borderId="1" xfId="0" applyNumberFormat="1" applyFont="1" applyFill="1" applyBorder="1" applyAlignment="1">
      <alignment horizontal="center" vertical="top"/>
    </xf>
    <xf numFmtId="0" fontId="13" fillId="4" borderId="0" xfId="0" applyFont="1" applyFill="1" applyBorder="1"/>
    <xf numFmtId="0" fontId="18" fillId="4" borderId="0" xfId="0" applyFont="1" applyFill="1" applyBorder="1"/>
    <xf numFmtId="2" fontId="9" fillId="3" borderId="1" xfId="0" applyNumberFormat="1" applyFont="1" applyFill="1" applyBorder="1" applyAlignment="1">
      <alignment horizontal="center" vertical="top"/>
    </xf>
    <xf numFmtId="0" fontId="13" fillId="3" borderId="0" xfId="0" applyFont="1" applyFill="1"/>
    <xf numFmtId="0" fontId="18" fillId="3" borderId="0" xfId="0" applyFont="1" applyFill="1"/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14" fillId="6" borderId="1" xfId="0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top"/>
    </xf>
    <xf numFmtId="2" fontId="9" fillId="0" borderId="4" xfId="0" applyNumberFormat="1" applyFont="1" applyFill="1" applyBorder="1" applyAlignment="1">
      <alignment horizontal="center" vertical="top" shrinkToFit="1"/>
    </xf>
    <xf numFmtId="0" fontId="9" fillId="0" borderId="1" xfId="0" applyFont="1" applyBorder="1" applyAlignment="1">
      <alignment horizontal="center" vertical="top" wrapText="1"/>
    </xf>
    <xf numFmtId="2" fontId="9" fillId="4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/>
    </xf>
    <xf numFmtId="2" fontId="13" fillId="3" borderId="1" xfId="0" applyNumberFormat="1" applyFont="1" applyFill="1" applyBorder="1" applyAlignment="1">
      <alignment horizontal="center" vertical="top"/>
    </xf>
    <xf numFmtId="1" fontId="9" fillId="6" borderId="1" xfId="0" applyNumberFormat="1" applyFont="1" applyFill="1" applyBorder="1" applyAlignment="1">
      <alignment horizontal="center" vertical="top"/>
    </xf>
    <xf numFmtId="0" fontId="13" fillId="6" borderId="1" xfId="0" applyFont="1" applyFill="1" applyBorder="1" applyAlignment="1">
      <alignment horizontal="center" vertical="top"/>
    </xf>
    <xf numFmtId="1" fontId="9" fillId="0" borderId="1" xfId="0" applyNumberFormat="1" applyFont="1" applyBorder="1" applyAlignment="1">
      <alignment horizontal="center" vertical="top"/>
    </xf>
    <xf numFmtId="1" fontId="9" fillId="4" borderId="1" xfId="0" applyNumberFormat="1" applyFont="1" applyFill="1" applyBorder="1" applyAlignment="1">
      <alignment horizontal="center" vertical="top"/>
    </xf>
    <xf numFmtId="1" fontId="9" fillId="3" borderId="1" xfId="0" applyNumberFormat="1" applyFont="1" applyFill="1" applyBorder="1" applyAlignment="1">
      <alignment horizontal="center" vertical="top"/>
    </xf>
    <xf numFmtId="1" fontId="13" fillId="0" borderId="1" xfId="0" applyNumberFormat="1" applyFont="1" applyBorder="1" applyAlignment="1">
      <alignment horizontal="center" vertical="top"/>
    </xf>
    <xf numFmtId="1" fontId="13" fillId="3" borderId="1" xfId="0" applyNumberFormat="1" applyFont="1" applyFill="1" applyBorder="1" applyAlignment="1">
      <alignment horizontal="center" vertical="top"/>
    </xf>
    <xf numFmtId="1" fontId="13" fillId="6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 shrinkToFit="1"/>
    </xf>
    <xf numFmtId="0" fontId="9" fillId="4" borderId="1" xfId="0" applyFont="1" applyFill="1" applyBorder="1" applyAlignment="1">
      <alignment horizontal="center" vertical="top" wrapText="1" shrinkToFit="1"/>
    </xf>
    <xf numFmtId="0" fontId="9" fillId="3" borderId="1" xfId="0" applyFont="1" applyFill="1" applyBorder="1" applyAlignment="1">
      <alignment horizontal="center" vertical="top" wrapText="1" shrinkToFit="1"/>
    </xf>
    <xf numFmtId="0" fontId="13" fillId="0" borderId="1" xfId="0" applyFont="1" applyBorder="1" applyAlignment="1">
      <alignment horizontal="center" vertical="top"/>
    </xf>
    <xf numFmtId="0" fontId="13" fillId="3" borderId="1" xfId="0" applyFont="1" applyFill="1" applyBorder="1" applyAlignment="1">
      <alignment horizontal="center" vertical="top"/>
    </xf>
    <xf numFmtId="0" fontId="14" fillId="7" borderId="1" xfId="0" applyFont="1" applyFill="1" applyBorder="1" applyAlignment="1">
      <alignment horizontal="center" vertical="center" wrapText="1" shrinkToFi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top"/>
    </xf>
    <xf numFmtId="0" fontId="13" fillId="7" borderId="0" xfId="0" applyFont="1" applyFill="1" applyBorder="1"/>
    <xf numFmtId="0" fontId="18" fillId="7" borderId="0" xfId="0" applyFont="1" applyFill="1" applyBorder="1"/>
    <xf numFmtId="0" fontId="36" fillId="7" borderId="1" xfId="0" applyFont="1" applyFill="1" applyBorder="1" applyAlignment="1">
      <alignment horizontal="left" vertical="top" wrapText="1" shrinkToFit="1"/>
    </xf>
    <xf numFmtId="0" fontId="9" fillId="3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horizontal="center" vertical="top"/>
    </xf>
    <xf numFmtId="2" fontId="13" fillId="7" borderId="1" xfId="0" applyNumberFormat="1" applyFont="1" applyFill="1" applyBorder="1" applyAlignment="1">
      <alignment horizontal="center" vertical="top"/>
    </xf>
    <xf numFmtId="2" fontId="9" fillId="7" borderId="1" xfId="0" applyNumberFormat="1" applyFont="1" applyFill="1" applyBorder="1" applyAlignment="1">
      <alignment horizontal="center" vertical="top"/>
    </xf>
    <xf numFmtId="1" fontId="13" fillId="7" borderId="1" xfId="0" applyNumberFormat="1" applyFont="1" applyFill="1" applyBorder="1" applyAlignment="1">
      <alignment horizontal="center" vertical="top"/>
    </xf>
    <xf numFmtId="0" fontId="13" fillId="7" borderId="0" xfId="0" applyFont="1" applyFill="1"/>
    <xf numFmtId="0" fontId="18" fillId="7" borderId="0" xfId="0" applyFont="1" applyFill="1"/>
    <xf numFmtId="0" fontId="9" fillId="8" borderId="1" xfId="0" applyFont="1" applyFill="1" applyBorder="1" applyAlignment="1">
      <alignment horizontal="center" vertical="top" wrapText="1" shrinkToFit="1"/>
    </xf>
    <xf numFmtId="2" fontId="9" fillId="8" borderId="1" xfId="0" applyNumberFormat="1" applyFont="1" applyFill="1" applyBorder="1" applyAlignment="1">
      <alignment horizontal="center" vertical="top" wrapText="1"/>
    </xf>
    <xf numFmtId="0" fontId="13" fillId="8" borderId="0" xfId="0" applyFont="1" applyFill="1" applyBorder="1"/>
    <xf numFmtId="0" fontId="18" fillId="8" borderId="0" xfId="0" applyFont="1" applyFill="1" applyBorder="1"/>
    <xf numFmtId="0" fontId="36" fillId="8" borderId="1" xfId="0" applyFont="1" applyFill="1" applyBorder="1" applyAlignment="1">
      <alignment horizontal="left" vertical="top" wrapText="1" shrinkToFit="1"/>
    </xf>
    <xf numFmtId="1" fontId="9" fillId="8" borderId="1" xfId="0" applyNumberFormat="1" applyFont="1" applyFill="1" applyBorder="1" applyAlignment="1">
      <alignment horizontal="center" vertical="top" wrapText="1" shrinkToFit="1"/>
    </xf>
    <xf numFmtId="0" fontId="9" fillId="9" borderId="6" xfId="0" applyFont="1" applyFill="1" applyBorder="1" applyAlignment="1">
      <alignment horizontal="center" vertical="center" shrinkToFit="1"/>
    </xf>
    <xf numFmtId="0" fontId="13" fillId="5" borderId="1" xfId="0" applyFont="1" applyFill="1" applyBorder="1" applyAlignment="1">
      <alignment horizontal="center" vertical="top"/>
    </xf>
    <xf numFmtId="0" fontId="4" fillId="10" borderId="7" xfId="0" applyFont="1" applyFill="1" applyBorder="1" applyAlignment="1">
      <alignment vertical="top"/>
    </xf>
    <xf numFmtId="187" fontId="9" fillId="10" borderId="7" xfId="0" applyNumberFormat="1" applyFont="1" applyFill="1" applyBorder="1" applyAlignment="1">
      <alignment vertical="top"/>
    </xf>
    <xf numFmtId="0" fontId="4" fillId="10" borderId="0" xfId="0" applyFont="1" applyFill="1" applyAlignment="1">
      <alignment vertical="top"/>
    </xf>
    <xf numFmtId="0" fontId="4" fillId="10" borderId="0" xfId="0" applyFont="1" applyFill="1" applyBorder="1" applyAlignment="1">
      <alignment vertical="top"/>
    </xf>
    <xf numFmtId="0" fontId="9" fillId="10" borderId="0" xfId="0" applyFont="1" applyFill="1" applyBorder="1" applyAlignment="1">
      <alignment horizontal="left" vertical="top" shrinkToFit="1"/>
    </xf>
    <xf numFmtId="0" fontId="9" fillId="10" borderId="0" xfId="0" applyFont="1" applyFill="1" applyAlignment="1">
      <alignment vertical="top"/>
    </xf>
    <xf numFmtId="0" fontId="9" fillId="10" borderId="0" xfId="0" applyFont="1" applyFill="1" applyBorder="1" applyAlignment="1">
      <alignment horizontal="left" vertical="top"/>
    </xf>
    <xf numFmtId="0" fontId="4" fillId="10" borderId="0" xfId="0" applyFont="1" applyFill="1" applyAlignment="1">
      <alignment vertical="center" shrinkToFit="1"/>
    </xf>
    <xf numFmtId="0" fontId="9" fillId="10" borderId="0" xfId="0" applyFont="1" applyFill="1" applyBorder="1" applyAlignment="1">
      <alignment vertical="top"/>
    </xf>
    <xf numFmtId="0" fontId="9" fillId="10" borderId="3" xfId="0" applyFont="1" applyFill="1" applyBorder="1" applyAlignment="1">
      <alignment horizontal="center" vertical="center" shrinkToFit="1"/>
    </xf>
    <xf numFmtId="2" fontId="9" fillId="10" borderId="0" xfId="0" applyNumberFormat="1" applyFont="1" applyFill="1" applyAlignment="1">
      <alignment vertical="top"/>
    </xf>
    <xf numFmtId="0" fontId="4" fillId="10" borderId="0" xfId="0" applyFont="1" applyFill="1" applyAlignment="1">
      <alignment horizontal="center" vertical="top"/>
    </xf>
    <xf numFmtId="0" fontId="30" fillId="10" borderId="0" xfId="0" applyFont="1" applyFill="1" applyAlignment="1">
      <alignment horizontal="center" vertical="top" shrinkToFit="1"/>
    </xf>
    <xf numFmtId="0" fontId="31" fillId="10" borderId="0" xfId="0" applyFont="1" applyFill="1" applyAlignment="1">
      <alignment vertical="top"/>
    </xf>
    <xf numFmtId="2" fontId="30" fillId="10" borderId="0" xfId="0" applyNumberFormat="1" applyFont="1" applyFill="1" applyAlignment="1">
      <alignment vertical="top" shrinkToFit="1"/>
    </xf>
    <xf numFmtId="0" fontId="9" fillId="10" borderId="0" xfId="0" applyFont="1" applyFill="1" applyAlignment="1">
      <alignment vertical="top" wrapText="1"/>
    </xf>
    <xf numFmtId="0" fontId="7" fillId="10" borderId="0" xfId="0" applyFont="1" applyFill="1" applyAlignment="1">
      <alignment vertical="top"/>
    </xf>
    <xf numFmtId="0" fontId="6" fillId="10" borderId="0" xfId="0" applyFont="1" applyFill="1" applyBorder="1" applyAlignment="1">
      <alignment horizontal="left" vertical="top" shrinkToFit="1"/>
    </xf>
    <xf numFmtId="0" fontId="6" fillId="10" borderId="0" xfId="0" applyFont="1" applyFill="1" applyAlignment="1">
      <alignment vertical="top"/>
    </xf>
    <xf numFmtId="0" fontId="6" fillId="10" borderId="0" xfId="0" applyFont="1" applyFill="1" applyBorder="1" applyAlignment="1">
      <alignment horizontal="left" vertical="top"/>
    </xf>
    <xf numFmtId="0" fontId="6" fillId="10" borderId="0" xfId="0" applyFont="1" applyFill="1" applyBorder="1" applyAlignment="1">
      <alignment horizontal="center" vertical="top"/>
    </xf>
    <xf numFmtId="0" fontId="15" fillId="10" borderId="0" xfId="0" applyFont="1" applyFill="1" applyBorder="1" applyAlignment="1">
      <alignment horizontal="center" vertical="top"/>
    </xf>
    <xf numFmtId="0" fontId="12" fillId="10" borderId="1" xfId="0" applyFont="1" applyFill="1" applyBorder="1" applyAlignment="1">
      <alignment vertical="center" wrapText="1"/>
    </xf>
    <xf numFmtId="2" fontId="12" fillId="10" borderId="1" xfId="0" applyNumberFormat="1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top" wrapText="1"/>
    </xf>
    <xf numFmtId="0" fontId="13" fillId="10" borderId="0" xfId="0" applyFont="1" applyFill="1" applyBorder="1" applyAlignment="1">
      <alignment vertical="top"/>
    </xf>
    <xf numFmtId="2" fontId="13" fillId="10" borderId="0" xfId="0" applyNumberFormat="1" applyFont="1" applyFill="1" applyBorder="1" applyAlignment="1">
      <alignment vertical="top"/>
    </xf>
    <xf numFmtId="0" fontId="5" fillId="10" borderId="0" xfId="0" applyFont="1" applyFill="1" applyBorder="1" applyAlignment="1">
      <alignment vertical="top"/>
    </xf>
    <xf numFmtId="0" fontId="12" fillId="10" borderId="6" xfId="0" applyFont="1" applyFill="1" applyBorder="1" applyAlignment="1">
      <alignment vertical="center" wrapText="1"/>
    </xf>
    <xf numFmtId="2" fontId="12" fillId="10" borderId="6" xfId="0" applyNumberFormat="1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top" wrapText="1"/>
    </xf>
    <xf numFmtId="0" fontId="5" fillId="10" borderId="0" xfId="0" applyFont="1" applyFill="1" applyAlignment="1">
      <alignment vertical="top"/>
    </xf>
    <xf numFmtId="0" fontId="16" fillId="10" borderId="10" xfId="0" applyFont="1" applyFill="1" applyBorder="1" applyAlignment="1">
      <alignment horizontal="center" vertical="center" shrinkToFit="1"/>
    </xf>
    <xf numFmtId="0" fontId="17" fillId="10" borderId="11" xfId="0" applyFont="1" applyFill="1" applyBorder="1" applyAlignment="1">
      <alignment horizontal="center" vertical="top" shrinkToFit="1"/>
    </xf>
    <xf numFmtId="0" fontId="17" fillId="10" borderId="12" xfId="0" applyFont="1" applyFill="1" applyBorder="1" applyAlignment="1">
      <alignment horizontal="center" vertical="top" shrinkToFit="1"/>
    </xf>
    <xf numFmtId="0" fontId="16" fillId="10" borderId="11" xfId="0" applyFont="1" applyFill="1" applyBorder="1" applyAlignment="1">
      <alignment horizontal="center" vertical="center" shrinkToFit="1"/>
    </xf>
    <xf numFmtId="0" fontId="17" fillId="10" borderId="0" xfId="0" applyFont="1" applyFill="1" applyAlignment="1">
      <alignment horizontal="center" vertical="top" shrinkToFit="1"/>
    </xf>
    <xf numFmtId="0" fontId="16" fillId="10" borderId="13" xfId="0" applyFont="1" applyFill="1" applyBorder="1" applyAlignment="1">
      <alignment horizontal="center" vertical="center" shrinkToFit="1"/>
    </xf>
    <xf numFmtId="2" fontId="16" fillId="10" borderId="14" xfId="0" applyNumberFormat="1" applyFont="1" applyFill="1" applyBorder="1" applyAlignment="1">
      <alignment horizontal="center" vertical="center" shrinkToFit="1"/>
    </xf>
    <xf numFmtId="0" fontId="16" fillId="10" borderId="15" xfId="0" applyFont="1" applyFill="1" applyBorder="1" applyAlignment="1">
      <alignment horizontal="center" vertical="top" wrapText="1"/>
    </xf>
    <xf numFmtId="0" fontId="15" fillId="10" borderId="0" xfId="0" applyFont="1" applyFill="1" applyAlignment="1">
      <alignment horizontal="left" vertical="top"/>
    </xf>
    <xf numFmtId="0" fontId="18" fillId="10" borderId="0" xfId="0" applyFont="1" applyFill="1" applyAlignment="1">
      <alignment vertical="top" wrapText="1"/>
    </xf>
    <xf numFmtId="0" fontId="8" fillId="10" borderId="0" xfId="0" applyFont="1" applyFill="1" applyAlignment="1">
      <alignment vertical="top"/>
    </xf>
    <xf numFmtId="0" fontId="12" fillId="10" borderId="6" xfId="0" applyFont="1" applyFill="1" applyBorder="1" applyAlignment="1">
      <alignment horizontal="center" vertical="center" wrapText="1"/>
    </xf>
    <xf numFmtId="2" fontId="12" fillId="10" borderId="6" xfId="0" applyNumberFormat="1" applyFont="1" applyFill="1" applyBorder="1" applyAlignment="1">
      <alignment horizontal="center" vertical="center" shrinkToFit="1"/>
    </xf>
    <xf numFmtId="2" fontId="13" fillId="10" borderId="17" xfId="0" applyNumberFormat="1" applyFont="1" applyFill="1" applyBorder="1" applyAlignment="1">
      <alignment vertical="top"/>
    </xf>
    <xf numFmtId="0" fontId="12" fillId="10" borderId="18" xfId="0" applyFont="1" applyFill="1" applyBorder="1" applyAlignment="1">
      <alignment horizontal="left" vertical="center" wrapText="1"/>
    </xf>
    <xf numFmtId="2" fontId="12" fillId="10" borderId="8" xfId="0" applyNumberFormat="1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top" wrapText="1"/>
    </xf>
    <xf numFmtId="2" fontId="13" fillId="10" borderId="19" xfId="0" applyNumberFormat="1" applyFont="1" applyFill="1" applyBorder="1" applyAlignment="1">
      <alignment vertical="top"/>
    </xf>
    <xf numFmtId="0" fontId="12" fillId="10" borderId="20" xfId="0" applyFont="1" applyFill="1" applyBorder="1" applyAlignment="1">
      <alignment horizontal="left" vertical="center" wrapText="1"/>
    </xf>
    <xf numFmtId="2" fontId="12" fillId="10" borderId="16" xfId="0" applyNumberFormat="1" applyFont="1" applyFill="1" applyBorder="1" applyAlignment="1">
      <alignment horizontal="center" vertical="center" wrapText="1"/>
    </xf>
    <xf numFmtId="0" fontId="16" fillId="10" borderId="11" xfId="0" applyFont="1" applyFill="1" applyBorder="1" applyAlignment="1">
      <alignment vertical="center" shrinkToFit="1"/>
    </xf>
    <xf numFmtId="0" fontId="16" fillId="10" borderId="12" xfId="0" applyFont="1" applyFill="1" applyBorder="1" applyAlignment="1">
      <alignment vertical="center" shrinkToFit="1"/>
    </xf>
    <xf numFmtId="0" fontId="16" fillId="10" borderId="21" xfId="0" applyFont="1" applyFill="1" applyBorder="1" applyAlignment="1">
      <alignment vertical="center" shrinkToFit="1"/>
    </xf>
    <xf numFmtId="0" fontId="29" fillId="10" borderId="14" xfId="0" applyFont="1" applyFill="1" applyBorder="1" applyAlignment="1">
      <alignment horizontal="center" vertical="top" wrapText="1"/>
    </xf>
    <xf numFmtId="0" fontId="9" fillId="10" borderId="14" xfId="0" applyFont="1" applyFill="1" applyBorder="1" applyAlignment="1">
      <alignment horizontal="center" vertical="top" wrapText="1"/>
    </xf>
    <xf numFmtId="0" fontId="16" fillId="10" borderId="14" xfId="0" applyFont="1" applyFill="1" applyBorder="1" applyAlignment="1">
      <alignment horizontal="center" vertical="top" wrapText="1"/>
    </xf>
    <xf numFmtId="187" fontId="13" fillId="10" borderId="0" xfId="0" applyNumberFormat="1" applyFont="1" applyFill="1" applyAlignment="1">
      <alignment horizontal="left" vertical="top"/>
    </xf>
    <xf numFmtId="0" fontId="15" fillId="10" borderId="6" xfId="0" applyFont="1" applyFill="1" applyBorder="1" applyAlignment="1">
      <alignment vertical="center" wrapText="1" shrinkToFit="1"/>
    </xf>
    <xf numFmtId="0" fontId="12" fillId="10" borderId="6" xfId="0" applyFont="1" applyFill="1" applyBorder="1" applyAlignment="1">
      <alignment vertical="center" shrinkToFit="1"/>
    </xf>
    <xf numFmtId="0" fontId="12" fillId="10" borderId="19" xfId="0" applyFont="1" applyFill="1" applyBorder="1" applyAlignment="1">
      <alignment vertical="center" wrapText="1"/>
    </xf>
    <xf numFmtId="0" fontId="12" fillId="10" borderId="20" xfId="0" applyFont="1" applyFill="1" applyBorder="1" applyAlignment="1">
      <alignment vertical="center" wrapText="1"/>
    </xf>
    <xf numFmtId="0" fontId="12" fillId="10" borderId="22" xfId="0" applyFont="1" applyFill="1" applyBorder="1" applyAlignment="1">
      <alignment vertical="center" wrapText="1"/>
    </xf>
    <xf numFmtId="0" fontId="12" fillId="10" borderId="2" xfId="0" applyFont="1" applyFill="1" applyBorder="1" applyAlignment="1">
      <alignment vertical="center" wrapText="1"/>
    </xf>
    <xf numFmtId="0" fontId="9" fillId="14" borderId="24" xfId="0" applyFont="1" applyFill="1" applyBorder="1" applyAlignment="1">
      <alignment vertical="center" shrinkToFit="1"/>
    </xf>
    <xf numFmtId="0" fontId="9" fillId="14" borderId="23" xfId="0" applyFont="1" applyFill="1" applyBorder="1" applyAlignment="1">
      <alignment horizontal="center" vertical="center" shrinkToFit="1"/>
    </xf>
    <xf numFmtId="2" fontId="30" fillId="14" borderId="1" xfId="0" applyNumberFormat="1" applyFont="1" applyFill="1" applyBorder="1" applyAlignment="1">
      <alignment horizontal="center" vertical="center" shrinkToFit="1"/>
    </xf>
    <xf numFmtId="2" fontId="30" fillId="14" borderId="1" xfId="0" applyNumberFormat="1" applyFont="1" applyFill="1" applyBorder="1" applyAlignment="1">
      <alignment horizontal="center" vertical="top" shrinkToFit="1"/>
    </xf>
    <xf numFmtId="2" fontId="9" fillId="9" borderId="3" xfId="0" applyNumberFormat="1" applyFont="1" applyFill="1" applyBorder="1" applyAlignment="1">
      <alignment horizontal="center" vertical="center" shrinkToFit="1"/>
    </xf>
    <xf numFmtId="0" fontId="3" fillId="10" borderId="25" xfId="0" applyNumberFormat="1" applyFont="1" applyFill="1" applyBorder="1" applyAlignment="1">
      <alignment horizontal="left" vertical="center" wrapText="1" shrinkToFit="1"/>
    </xf>
    <xf numFmtId="0" fontId="3" fillId="10" borderId="18" xfId="0" applyFont="1" applyFill="1" applyBorder="1" applyAlignment="1">
      <alignment vertical="center" wrapText="1" shrinkToFit="1"/>
    </xf>
    <xf numFmtId="0" fontId="24" fillId="10" borderId="25" xfId="0" applyFont="1" applyFill="1" applyBorder="1" applyAlignment="1">
      <alignment vertical="center" shrinkToFit="1"/>
    </xf>
    <xf numFmtId="0" fontId="3" fillId="10" borderId="17" xfId="0" applyFont="1" applyFill="1" applyBorder="1" applyAlignment="1">
      <alignment horizontal="left" vertical="center" shrinkToFit="1"/>
    </xf>
    <xf numFmtId="0" fontId="3" fillId="10" borderId="27" xfId="0" applyFont="1" applyFill="1" applyBorder="1" applyAlignment="1">
      <alignment horizontal="left" vertical="center" shrinkToFit="1"/>
    </xf>
    <xf numFmtId="0" fontId="9" fillId="10" borderId="8" xfId="0" applyFont="1" applyFill="1" applyBorder="1" applyAlignment="1">
      <alignment horizontal="center" vertical="center" shrinkToFit="1"/>
    </xf>
    <xf numFmtId="0" fontId="22" fillId="10" borderId="0" xfId="0" applyFont="1" applyFill="1"/>
    <xf numFmtId="0" fontId="6" fillId="10" borderId="0" xfId="0" applyFont="1" applyFill="1" applyAlignment="1">
      <alignment horizontal="center"/>
    </xf>
    <xf numFmtId="0" fontId="23" fillId="10" borderId="0" xfId="0" applyFont="1" applyFill="1" applyAlignment="1">
      <alignment vertical="top" wrapText="1"/>
    </xf>
    <xf numFmtId="0" fontId="3" fillId="10" borderId="3" xfId="0" applyFont="1" applyFill="1" applyBorder="1" applyAlignment="1">
      <alignment vertical="top" wrapText="1"/>
    </xf>
    <xf numFmtId="0" fontId="6" fillId="10" borderId="3" xfId="0" applyFont="1" applyFill="1" applyBorder="1" applyAlignment="1">
      <alignment vertical="top" wrapText="1"/>
    </xf>
    <xf numFmtId="0" fontId="22" fillId="10" borderId="0" xfId="0" applyFont="1" applyFill="1" applyAlignment="1">
      <alignment vertical="top" wrapText="1"/>
    </xf>
    <xf numFmtId="0" fontId="6" fillId="10" borderId="28" xfId="0" applyFont="1" applyFill="1" applyBorder="1" applyAlignment="1">
      <alignment vertical="top" wrapText="1"/>
    </xf>
    <xf numFmtId="0" fontId="6" fillId="10" borderId="0" xfId="0" applyFont="1" applyFill="1"/>
    <xf numFmtId="0" fontId="3" fillId="10" borderId="7" xfId="0" applyFont="1" applyFill="1" applyBorder="1" applyAlignment="1">
      <alignment vertical="top" wrapText="1"/>
    </xf>
    <xf numFmtId="0" fontId="3" fillId="10" borderId="30" xfId="0" applyFont="1" applyFill="1" applyBorder="1" applyAlignment="1">
      <alignment vertical="top"/>
    </xf>
    <xf numFmtId="0" fontId="16" fillId="10" borderId="30" xfId="0" applyFont="1" applyFill="1" applyBorder="1" applyAlignment="1">
      <alignment vertical="top" wrapText="1"/>
    </xf>
    <xf numFmtId="0" fontId="16" fillId="15" borderId="3" xfId="0" applyFont="1" applyFill="1" applyBorder="1" applyAlignment="1">
      <alignment vertical="top"/>
    </xf>
    <xf numFmtId="0" fontId="32" fillId="10" borderId="0" xfId="0" applyFont="1" applyFill="1"/>
    <xf numFmtId="0" fontId="17" fillId="15" borderId="3" xfId="0" applyFont="1" applyFill="1" applyBorder="1" applyAlignment="1">
      <alignment vertical="top" wrapText="1"/>
    </xf>
    <xf numFmtId="0" fontId="17" fillId="15" borderId="25" xfId="0" applyFont="1" applyFill="1" applyBorder="1"/>
    <xf numFmtId="0" fontId="33" fillId="15" borderId="25" xfId="0" applyFont="1" applyFill="1" applyBorder="1"/>
    <xf numFmtId="0" fontId="12" fillId="10" borderId="3" xfId="0" applyFont="1" applyFill="1" applyBorder="1" applyAlignment="1">
      <alignment horizontal="center" vertical="top" wrapText="1"/>
    </xf>
    <xf numFmtId="0" fontId="12" fillId="10" borderId="0" xfId="0" applyFont="1" applyFill="1" applyAlignment="1">
      <alignment horizontal="center" vertical="top"/>
    </xf>
    <xf numFmtId="0" fontId="8" fillId="10" borderId="3" xfId="0" applyFont="1" applyFill="1" applyBorder="1" applyAlignment="1">
      <alignment vertical="top" wrapText="1"/>
    </xf>
    <xf numFmtId="0" fontId="11" fillId="10" borderId="3" xfId="0" applyFont="1" applyFill="1" applyBorder="1" applyAlignment="1">
      <alignment horizontal="center" vertical="top" wrapText="1"/>
    </xf>
    <xf numFmtId="0" fontId="11" fillId="10" borderId="3" xfId="0" applyFont="1" applyFill="1" applyBorder="1" applyAlignment="1">
      <alignment horizontal="center" vertical="top" shrinkToFit="1"/>
    </xf>
    <xf numFmtId="0" fontId="8" fillId="10" borderId="3" xfId="0" applyNumberFormat="1" applyFont="1" applyFill="1" applyBorder="1" applyAlignment="1">
      <alignment horizontal="left" vertical="top" shrinkToFit="1"/>
    </xf>
    <xf numFmtId="0" fontId="12" fillId="10" borderId="3" xfId="0" applyNumberFormat="1" applyFont="1" applyFill="1" applyBorder="1" applyAlignment="1">
      <alignment horizontal="center" vertical="top" shrinkToFit="1"/>
    </xf>
    <xf numFmtId="0" fontId="12" fillId="10" borderId="3" xfId="0" applyNumberFormat="1" applyFont="1" applyFill="1" applyBorder="1" applyAlignment="1">
      <alignment horizontal="center" vertical="top" wrapText="1"/>
    </xf>
    <xf numFmtId="0" fontId="8" fillId="10" borderId="3" xfId="0" applyNumberFormat="1" applyFont="1" applyFill="1" applyBorder="1" applyAlignment="1">
      <alignment horizontal="left" vertical="top" wrapText="1" shrinkToFit="1"/>
    </xf>
    <xf numFmtId="0" fontId="9" fillId="10" borderId="1" xfId="0" applyFont="1" applyFill="1" applyBorder="1" applyAlignment="1">
      <alignment vertical="top"/>
    </xf>
    <xf numFmtId="0" fontId="9" fillId="10" borderId="1" xfId="0" applyFont="1" applyFill="1" applyBorder="1" applyAlignment="1">
      <alignment horizontal="center" vertical="top"/>
    </xf>
    <xf numFmtId="0" fontId="10" fillId="12" borderId="9" xfId="0" applyFont="1" applyFill="1" applyBorder="1" applyAlignment="1">
      <alignment vertical="top"/>
    </xf>
    <xf numFmtId="0" fontId="10" fillId="12" borderId="9" xfId="0" applyFont="1" applyFill="1" applyBorder="1" applyAlignment="1">
      <alignment horizontal="center" vertical="top"/>
    </xf>
    <xf numFmtId="0" fontId="10" fillId="12" borderId="3" xfId="0" applyFont="1" applyFill="1" applyBorder="1" applyAlignment="1">
      <alignment horizontal="center" vertical="top"/>
    </xf>
    <xf numFmtId="0" fontId="9" fillId="12" borderId="3" xfId="0" applyFont="1" applyFill="1" applyBorder="1" applyAlignment="1">
      <alignment vertical="top" wrapText="1"/>
    </xf>
    <xf numFmtId="0" fontId="9" fillId="12" borderId="3" xfId="0" applyFont="1" applyFill="1" applyBorder="1" applyAlignment="1">
      <alignment vertical="top"/>
    </xf>
    <xf numFmtId="0" fontId="17" fillId="16" borderId="3" xfId="0" applyFont="1" applyFill="1" applyBorder="1" applyAlignment="1">
      <alignment vertical="top" wrapText="1"/>
    </xf>
    <xf numFmtId="0" fontId="38" fillId="0" borderId="1" xfId="0" applyFont="1" applyBorder="1" applyAlignment="1">
      <alignment horizontal="center" vertical="top"/>
    </xf>
    <xf numFmtId="2" fontId="38" fillId="0" borderId="1" xfId="0" applyNumberFormat="1" applyFont="1" applyBorder="1" applyAlignment="1">
      <alignment horizontal="center" vertical="top"/>
    </xf>
    <xf numFmtId="2" fontId="38" fillId="6" borderId="1" xfId="0" applyNumberFormat="1" applyFont="1" applyFill="1" applyBorder="1" applyAlignment="1">
      <alignment horizontal="center" vertical="top"/>
    </xf>
    <xf numFmtId="1" fontId="38" fillId="0" borderId="1" xfId="0" applyNumberFormat="1" applyFont="1" applyBorder="1" applyAlignment="1">
      <alignment horizontal="center" vertical="top"/>
    </xf>
    <xf numFmtId="1" fontId="38" fillId="6" borderId="1" xfId="0" applyNumberFormat="1" applyFont="1" applyFill="1" applyBorder="1" applyAlignment="1">
      <alignment horizontal="center" vertical="top"/>
    </xf>
    <xf numFmtId="0" fontId="38" fillId="0" borderId="0" xfId="0" applyFont="1"/>
    <xf numFmtId="0" fontId="39" fillId="0" borderId="0" xfId="0" applyFont="1"/>
    <xf numFmtId="2" fontId="41" fillId="0" borderId="1" xfId="0" applyNumberFormat="1" applyFont="1" applyBorder="1" applyAlignment="1">
      <alignment horizontal="center" vertical="top"/>
    </xf>
    <xf numFmtId="1" fontId="41" fillId="0" borderId="1" xfId="0" applyNumberFormat="1" applyFont="1" applyBorder="1" applyAlignment="1">
      <alignment horizontal="center" vertical="top"/>
    </xf>
    <xf numFmtId="1" fontId="41" fillId="6" borderId="1" xfId="0" applyNumberFormat="1" applyFont="1" applyFill="1" applyBorder="1" applyAlignment="1">
      <alignment horizontal="center" vertical="top"/>
    </xf>
    <xf numFmtId="0" fontId="41" fillId="0" borderId="0" xfId="0" applyFont="1"/>
    <xf numFmtId="0" fontId="40" fillId="0" borderId="0" xfId="0" applyFont="1"/>
    <xf numFmtId="0" fontId="8" fillId="10" borderId="8" xfId="0" applyFont="1" applyFill="1" applyBorder="1" applyAlignment="1">
      <alignment vertical="top" wrapText="1"/>
    </xf>
    <xf numFmtId="0" fontId="12" fillId="10" borderId="8" xfId="0" applyFont="1" applyFill="1" applyBorder="1" applyAlignment="1">
      <alignment horizontal="center" vertical="top" wrapText="1"/>
    </xf>
    <xf numFmtId="0" fontId="40" fillId="0" borderId="0" xfId="0" applyFont="1" applyFill="1" applyAlignment="1">
      <alignment horizontal="center"/>
    </xf>
    <xf numFmtId="2" fontId="30" fillId="16" borderId="1" xfId="0" applyNumberFormat="1" applyFont="1" applyFill="1" applyBorder="1" applyAlignment="1">
      <alignment horizontal="center" vertical="top" shrinkToFit="1"/>
    </xf>
    <xf numFmtId="0" fontId="38" fillId="0" borderId="1" xfId="0" applyFont="1" applyBorder="1" applyAlignment="1">
      <alignment horizontal="center" vertical="top" wrapText="1" shrinkToFit="1"/>
    </xf>
    <xf numFmtId="0" fontId="38" fillId="5" borderId="1" xfId="0" applyFont="1" applyFill="1" applyBorder="1" applyAlignment="1">
      <alignment horizontal="center" vertical="top" wrapText="1" shrinkToFit="1"/>
    </xf>
    <xf numFmtId="0" fontId="38" fillId="0" borderId="1" xfId="0" applyFont="1" applyBorder="1" applyAlignment="1">
      <alignment horizontal="center" vertical="top" wrapText="1"/>
    </xf>
    <xf numFmtId="0" fontId="38" fillId="0" borderId="0" xfId="0" applyFont="1" applyBorder="1"/>
    <xf numFmtId="0" fontId="39" fillId="0" borderId="0" xfId="0" applyFont="1" applyBorder="1"/>
    <xf numFmtId="0" fontId="29" fillId="10" borderId="7" xfId="0" applyFont="1" applyFill="1" applyBorder="1" applyAlignment="1">
      <alignment vertical="top"/>
    </xf>
    <xf numFmtId="0" fontId="25" fillId="10" borderId="5" xfId="0" applyFont="1" applyFill="1" applyBorder="1" applyAlignment="1">
      <alignment horizontal="center" vertical="center" shrinkToFit="1"/>
    </xf>
    <xf numFmtId="0" fontId="25" fillId="10" borderId="4" xfId="0" applyFont="1" applyFill="1" applyBorder="1" applyAlignment="1">
      <alignment horizontal="center" vertical="center" shrinkToFit="1"/>
    </xf>
    <xf numFmtId="187" fontId="9" fillId="10" borderId="7" xfId="0" applyNumberFormat="1" applyFont="1" applyFill="1" applyBorder="1" applyAlignment="1">
      <alignment horizontal="center" vertical="top"/>
    </xf>
    <xf numFmtId="0" fontId="3" fillId="10" borderId="31" xfId="0" applyFont="1" applyFill="1" applyBorder="1" applyAlignment="1">
      <alignment vertical="center" wrapText="1" shrinkToFit="1"/>
    </xf>
    <xf numFmtId="0" fontId="9" fillId="10" borderId="5" xfId="0" applyFont="1" applyFill="1" applyBorder="1" applyAlignment="1">
      <alignment horizontal="center" vertical="center" shrinkToFit="1"/>
    </xf>
    <xf numFmtId="0" fontId="3" fillId="10" borderId="32" xfId="0" applyFont="1" applyFill="1" applyBorder="1" applyAlignment="1">
      <alignment horizontal="left" vertical="center" shrinkToFit="1"/>
    </xf>
    <xf numFmtId="0" fontId="9" fillId="10" borderId="0" xfId="0" applyFont="1" applyFill="1" applyBorder="1" applyAlignment="1">
      <alignment horizontal="center" vertical="top"/>
    </xf>
    <xf numFmtId="2" fontId="30" fillId="5" borderId="1" xfId="0" applyNumberFormat="1" applyFont="1" applyFill="1" applyBorder="1" applyAlignment="1">
      <alignment horizontal="center" vertical="center" shrinkToFit="1"/>
    </xf>
    <xf numFmtId="0" fontId="9" fillId="14" borderId="24" xfId="0" applyFont="1" applyFill="1" applyBorder="1" applyAlignment="1">
      <alignment horizontal="center" vertical="center" shrinkToFit="1"/>
    </xf>
    <xf numFmtId="0" fontId="3" fillId="10" borderId="33" xfId="0" applyFont="1" applyFill="1" applyBorder="1" applyAlignment="1">
      <alignment horizontal="left" vertical="center" shrinkToFit="1"/>
    </xf>
    <xf numFmtId="0" fontId="9" fillId="10" borderId="0" xfId="0" applyFont="1" applyFill="1" applyAlignment="1">
      <alignment horizontal="center" vertical="top"/>
    </xf>
    <xf numFmtId="2" fontId="30" fillId="16" borderId="1" xfId="0" applyNumberFormat="1" applyFont="1" applyFill="1" applyBorder="1" applyAlignment="1">
      <alignment horizontal="center" vertical="center" shrinkToFit="1"/>
    </xf>
    <xf numFmtId="0" fontId="16" fillId="10" borderId="0" xfId="0" applyFont="1" applyFill="1"/>
    <xf numFmtId="0" fontId="9" fillId="5" borderId="1" xfId="0" applyFont="1" applyFill="1" applyBorder="1" applyAlignment="1">
      <alignment horizontal="center" vertical="top"/>
    </xf>
    <xf numFmtId="0" fontId="12" fillId="10" borderId="0" xfId="0" applyFont="1" applyFill="1" applyAlignment="1">
      <alignment vertical="top"/>
    </xf>
    <xf numFmtId="0" fontId="37" fillId="10" borderId="0" xfId="0" applyFont="1" applyFill="1" applyAlignment="1">
      <alignment vertical="top" wrapText="1"/>
    </xf>
    <xf numFmtId="0" fontId="25" fillId="10" borderId="7" xfId="0" applyFont="1" applyFill="1" applyBorder="1" applyAlignment="1">
      <alignment horizontal="center" vertical="top" wrapText="1"/>
    </xf>
    <xf numFmtId="0" fontId="25" fillId="10" borderId="30" xfId="0" applyFont="1" applyFill="1" applyBorder="1" applyAlignment="1">
      <alignment horizontal="center" vertical="top" wrapText="1"/>
    </xf>
    <xf numFmtId="0" fontId="26" fillId="10" borderId="0" xfId="0" applyFont="1" applyFill="1" applyAlignment="1">
      <alignment horizontal="center"/>
    </xf>
    <xf numFmtId="0" fontId="43" fillId="10" borderId="0" xfId="0" applyFont="1" applyFill="1" applyAlignment="1">
      <alignment vertical="top"/>
    </xf>
    <xf numFmtId="0" fontId="30" fillId="5" borderId="1" xfId="0" applyFont="1" applyFill="1" applyBorder="1" applyAlignment="1">
      <alignment horizontal="center" vertical="center" shrinkToFit="1"/>
    </xf>
    <xf numFmtId="0" fontId="30" fillId="17" borderId="1" xfId="0" applyFont="1" applyFill="1" applyBorder="1" applyAlignment="1">
      <alignment horizontal="center" vertical="center" shrinkToFit="1"/>
    </xf>
    <xf numFmtId="2" fontId="30" fillId="17" borderId="1" xfId="0" applyNumberFormat="1" applyFont="1" applyFill="1" applyBorder="1" applyAlignment="1">
      <alignment horizontal="center" vertical="center" shrinkToFit="1"/>
    </xf>
    <xf numFmtId="0" fontId="44" fillId="18" borderId="1" xfId="0" applyFont="1" applyFill="1" applyBorder="1" applyAlignment="1">
      <alignment horizontal="center" vertical="center" shrinkToFit="1"/>
    </xf>
    <xf numFmtId="2" fontId="44" fillId="18" borderId="1" xfId="0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top"/>
    </xf>
    <xf numFmtId="0" fontId="39" fillId="5" borderId="1" xfId="0" applyFont="1" applyFill="1" applyBorder="1" applyAlignment="1">
      <alignment horizontal="left" vertical="top" wrapText="1" shrinkToFit="1"/>
    </xf>
    <xf numFmtId="0" fontId="14" fillId="5" borderId="1" xfId="0" applyFont="1" applyFill="1" applyBorder="1" applyAlignment="1">
      <alignment horizontal="left" vertical="top" wrapText="1" shrinkToFit="1"/>
    </xf>
    <xf numFmtId="0" fontId="45" fillId="10" borderId="27" xfId="0" applyFont="1" applyFill="1" applyBorder="1" applyAlignment="1">
      <alignment horizontal="right" vertical="center" shrinkToFit="1"/>
    </xf>
    <xf numFmtId="0" fontId="45" fillId="10" borderId="33" xfId="0" applyFont="1" applyFill="1" applyBorder="1" applyAlignment="1">
      <alignment horizontal="right" vertical="center" shrinkToFit="1"/>
    </xf>
    <xf numFmtId="0" fontId="45" fillId="10" borderId="17" xfId="0" applyFont="1" applyFill="1" applyBorder="1" applyAlignment="1">
      <alignment horizontal="right" vertical="center" shrinkToFit="1"/>
    </xf>
    <xf numFmtId="0" fontId="30" fillId="19" borderId="1" xfId="0" applyFont="1" applyFill="1" applyBorder="1" applyAlignment="1">
      <alignment horizontal="center" vertical="center" shrinkToFit="1"/>
    </xf>
    <xf numFmtId="2" fontId="30" fillId="19" borderId="1" xfId="0" applyNumberFormat="1" applyFont="1" applyFill="1" applyBorder="1" applyAlignment="1">
      <alignment horizontal="center" vertical="center" shrinkToFit="1"/>
    </xf>
    <xf numFmtId="2" fontId="46" fillId="18" borderId="1" xfId="0" applyNumberFormat="1" applyFont="1" applyFill="1" applyBorder="1" applyAlignment="1">
      <alignment horizontal="center" vertical="center" shrinkToFit="1"/>
    </xf>
    <xf numFmtId="0" fontId="46" fillId="18" borderId="22" xfId="0" applyFont="1" applyFill="1" applyBorder="1" applyAlignment="1">
      <alignment horizontal="center" vertical="center" shrinkToFit="1"/>
    </xf>
    <xf numFmtId="0" fontId="46" fillId="18" borderId="2" xfId="0" applyFont="1" applyFill="1" applyBorder="1" applyAlignment="1">
      <alignment horizontal="center" vertical="center" shrinkToFit="1"/>
    </xf>
    <xf numFmtId="2" fontId="25" fillId="5" borderId="1" xfId="0" applyNumberFormat="1" applyFont="1" applyFill="1" applyBorder="1" applyAlignment="1">
      <alignment horizontal="center" vertical="center" shrinkToFit="1"/>
    </xf>
    <xf numFmtId="0" fontId="25" fillId="5" borderId="22" xfId="0" applyFont="1" applyFill="1" applyBorder="1" applyAlignment="1">
      <alignment horizontal="center" vertical="center" shrinkToFit="1"/>
    </xf>
    <xf numFmtId="0" fontId="25" fillId="5" borderId="2" xfId="0" applyFont="1" applyFill="1" applyBorder="1" applyAlignment="1">
      <alignment horizontal="center" vertical="center" shrinkToFit="1"/>
    </xf>
    <xf numFmtId="2" fontId="25" fillId="16" borderId="1" xfId="0" applyNumberFormat="1" applyFont="1" applyFill="1" applyBorder="1" applyAlignment="1">
      <alignment horizontal="center" vertical="top" shrinkToFit="1"/>
    </xf>
    <xf numFmtId="2" fontId="25" fillId="16" borderId="22" xfId="0" applyNumberFormat="1" applyFont="1" applyFill="1" applyBorder="1" applyAlignment="1">
      <alignment horizontal="center" vertical="top" shrinkToFit="1"/>
    </xf>
    <xf numFmtId="2" fontId="25" fillId="16" borderId="2" xfId="0" applyNumberFormat="1" applyFont="1" applyFill="1" applyBorder="1" applyAlignment="1">
      <alignment horizontal="center" vertical="top" shrinkToFit="1"/>
    </xf>
    <xf numFmtId="2" fontId="25" fillId="14" borderId="1" xfId="0" applyNumberFormat="1" applyFont="1" applyFill="1" applyBorder="1" applyAlignment="1">
      <alignment horizontal="center" vertical="top" shrinkToFit="1"/>
    </xf>
    <xf numFmtId="2" fontId="25" fillId="14" borderId="22" xfId="0" applyNumberFormat="1" applyFont="1" applyFill="1" applyBorder="1" applyAlignment="1">
      <alignment horizontal="center" vertical="top" shrinkToFit="1"/>
    </xf>
    <xf numFmtId="2" fontId="25" fillId="14" borderId="2" xfId="0" applyNumberFormat="1" applyFont="1" applyFill="1" applyBorder="1" applyAlignment="1">
      <alignment horizontal="center" vertical="top" shrinkToFit="1"/>
    </xf>
    <xf numFmtId="2" fontId="25" fillId="19" borderId="1" xfId="0" applyNumberFormat="1" applyFont="1" applyFill="1" applyBorder="1" applyAlignment="1">
      <alignment horizontal="center" vertical="center" shrinkToFit="1"/>
    </xf>
    <xf numFmtId="0" fontId="25" fillId="19" borderId="22" xfId="0" applyFont="1" applyFill="1" applyBorder="1" applyAlignment="1">
      <alignment horizontal="center" vertical="center" shrinkToFit="1"/>
    </xf>
    <xf numFmtId="0" fontId="25" fillId="19" borderId="2" xfId="0" applyFont="1" applyFill="1" applyBorder="1" applyAlignment="1">
      <alignment horizontal="center" vertical="center" shrinkToFit="1"/>
    </xf>
    <xf numFmtId="2" fontId="25" fillId="17" borderId="1" xfId="0" applyNumberFormat="1" applyFont="1" applyFill="1" applyBorder="1" applyAlignment="1">
      <alignment horizontal="center" vertical="center" shrinkToFit="1"/>
    </xf>
    <xf numFmtId="0" fontId="25" fillId="17" borderId="22" xfId="0" applyFont="1" applyFill="1" applyBorder="1" applyAlignment="1">
      <alignment horizontal="center" vertical="center" shrinkToFit="1"/>
    </xf>
    <xf numFmtId="0" fontId="25" fillId="17" borderId="2" xfId="0" applyFont="1" applyFill="1" applyBorder="1" applyAlignment="1">
      <alignment horizontal="center" vertical="center" shrinkToFit="1"/>
    </xf>
    <xf numFmtId="0" fontId="9" fillId="14" borderId="32" xfId="0" applyFont="1" applyFill="1" applyBorder="1" applyAlignment="1">
      <alignment vertical="center"/>
    </xf>
    <xf numFmtId="0" fontId="9" fillId="14" borderId="23" xfId="0" applyFont="1" applyFill="1" applyBorder="1" applyAlignment="1">
      <alignment vertical="center" wrapText="1" shrinkToFit="1"/>
    </xf>
    <xf numFmtId="187" fontId="16" fillId="10" borderId="7" xfId="0" applyNumberFormat="1" applyFont="1" applyFill="1" applyBorder="1" applyAlignment="1">
      <alignment vertical="top"/>
    </xf>
    <xf numFmtId="0" fontId="29" fillId="9" borderId="3" xfId="0" applyFont="1" applyFill="1" applyBorder="1" applyAlignment="1">
      <alignment vertical="center" shrinkToFit="1"/>
    </xf>
    <xf numFmtId="0" fontId="29" fillId="9" borderId="32" xfId="0" applyFont="1" applyFill="1" applyBorder="1" applyAlignment="1">
      <alignment vertical="center" shrinkToFit="1"/>
    </xf>
    <xf numFmtId="0" fontId="29" fillId="9" borderId="25" xfId="0" applyFont="1" applyFill="1" applyBorder="1" applyAlignment="1">
      <alignment horizontal="center" vertical="center" shrinkToFit="1"/>
    </xf>
    <xf numFmtId="2" fontId="29" fillId="9" borderId="3" xfId="0" applyNumberFormat="1" applyFont="1" applyFill="1" applyBorder="1" applyAlignment="1">
      <alignment horizontal="center" vertical="center" shrinkToFit="1"/>
    </xf>
    <xf numFmtId="0" fontId="29" fillId="10" borderId="4" xfId="0" applyFont="1" applyFill="1" applyBorder="1" applyAlignment="1">
      <alignment horizontal="center" vertical="center" shrinkToFit="1"/>
    </xf>
    <xf numFmtId="0" fontId="29" fillId="10" borderId="8" xfId="0" applyFont="1" applyFill="1" applyBorder="1" applyAlignment="1">
      <alignment horizontal="center" vertical="center" shrinkToFit="1"/>
    </xf>
    <xf numFmtId="0" fontId="29" fillId="10" borderId="3" xfId="0" applyFont="1" applyFill="1" applyBorder="1" applyAlignment="1">
      <alignment horizontal="center" vertical="center" shrinkToFit="1"/>
    </xf>
    <xf numFmtId="0" fontId="29" fillId="10" borderId="32" xfId="0" applyFont="1" applyFill="1" applyBorder="1" applyAlignment="1">
      <alignment horizontal="center" vertical="center" shrinkToFit="1"/>
    </xf>
    <xf numFmtId="0" fontId="29" fillId="10" borderId="25" xfId="0" applyFont="1" applyFill="1" applyBorder="1" applyAlignment="1">
      <alignment horizontal="center" vertical="center" shrinkToFit="1"/>
    </xf>
    <xf numFmtId="0" fontId="35" fillId="10" borderId="31" xfId="0" applyFont="1" applyFill="1" applyBorder="1" applyAlignment="1">
      <alignment vertical="top"/>
    </xf>
    <xf numFmtId="0" fontId="29" fillId="10" borderId="5" xfId="0" applyFont="1" applyFill="1" applyBorder="1" applyAlignment="1">
      <alignment horizontal="center" vertical="center" shrinkToFit="1"/>
    </xf>
    <xf numFmtId="2" fontId="29" fillId="2" borderId="16" xfId="0" applyNumberFormat="1" applyFont="1" applyFill="1" applyBorder="1" applyAlignment="1">
      <alignment horizontal="center" vertical="center" shrinkToFit="1"/>
    </xf>
    <xf numFmtId="2" fontId="29" fillId="2" borderId="5" xfId="0" applyNumberFormat="1" applyFont="1" applyFill="1" applyBorder="1" applyAlignment="1">
      <alignment horizontal="center" vertical="center" shrinkToFit="1"/>
    </xf>
    <xf numFmtId="0" fontId="29" fillId="14" borderId="23" xfId="0" applyFont="1" applyFill="1" applyBorder="1" applyAlignment="1">
      <alignment horizontal="center" vertical="center" shrinkToFit="1"/>
    </xf>
    <xf numFmtId="0" fontId="29" fillId="9" borderId="3" xfId="0" applyFont="1" applyFill="1" applyBorder="1" applyAlignment="1">
      <alignment horizontal="center" vertical="center" shrinkToFit="1"/>
    </xf>
    <xf numFmtId="0" fontId="29" fillId="9" borderId="32" xfId="0" applyFont="1" applyFill="1" applyBorder="1" applyAlignment="1">
      <alignment horizontal="center" vertical="center" shrinkToFit="1"/>
    </xf>
    <xf numFmtId="41" fontId="29" fillId="10" borderId="3" xfId="0" applyNumberFormat="1" applyFont="1" applyFill="1" applyBorder="1" applyAlignment="1">
      <alignment horizontal="center" vertical="center" shrinkToFit="1"/>
    </xf>
    <xf numFmtId="0" fontId="29" fillId="10" borderId="5" xfId="0" applyFont="1" applyFill="1" applyBorder="1" applyAlignment="1">
      <alignment horizontal="center" vertical="center" shrinkToFit="1"/>
    </xf>
    <xf numFmtId="2" fontId="29" fillId="10" borderId="8" xfId="0" applyNumberFormat="1" applyFont="1" applyFill="1" applyBorder="1" applyAlignment="1">
      <alignment horizontal="center" vertical="center" shrinkToFit="1"/>
    </xf>
    <xf numFmtId="2" fontId="29" fillId="10" borderId="4" xfId="0" applyNumberFormat="1" applyFont="1" applyFill="1" applyBorder="1" applyAlignment="1">
      <alignment horizontal="center" vertical="center" shrinkToFit="1"/>
    </xf>
    <xf numFmtId="0" fontId="48" fillId="21" borderId="16" xfId="0" applyFont="1" applyFill="1" applyBorder="1" applyAlignment="1">
      <alignment horizontal="center" vertical="center" shrinkToFit="1"/>
    </xf>
    <xf numFmtId="0" fontId="49" fillId="21" borderId="1" xfId="0" applyFont="1" applyFill="1" applyBorder="1" applyAlignment="1">
      <alignment horizontal="center" vertical="center" shrinkToFit="1"/>
    </xf>
    <xf numFmtId="0" fontId="48" fillId="21" borderId="1" xfId="0" applyFont="1" applyFill="1" applyBorder="1" applyAlignment="1">
      <alignment horizontal="center" vertical="center" shrinkToFit="1"/>
    </xf>
    <xf numFmtId="0" fontId="6" fillId="15" borderId="32" xfId="0" applyFont="1" applyFill="1" applyBorder="1" applyAlignment="1">
      <alignment horizontal="left" vertical="top" wrapText="1"/>
    </xf>
    <xf numFmtId="0" fontId="26" fillId="10" borderId="45" xfId="0" applyFont="1" applyFill="1" applyBorder="1" applyAlignment="1">
      <alignment horizontal="center" vertical="top" shrinkToFit="1"/>
    </xf>
    <xf numFmtId="0" fontId="26" fillId="10" borderId="46" xfId="0" applyFont="1" applyFill="1" applyBorder="1" applyAlignment="1">
      <alignment horizontal="center" vertical="top" shrinkToFit="1"/>
    </xf>
    <xf numFmtId="0" fontId="3" fillId="10" borderId="32" xfId="0" applyFont="1" applyFill="1" applyBorder="1" applyAlignment="1">
      <alignment horizontal="left" vertical="top" wrapText="1"/>
    </xf>
    <xf numFmtId="0" fontId="3" fillId="10" borderId="32" xfId="0" applyNumberFormat="1" applyFont="1" applyFill="1" applyBorder="1" applyAlignment="1">
      <alignment horizontal="left" vertical="top" wrapText="1"/>
    </xf>
    <xf numFmtId="0" fontId="16" fillId="15" borderId="32" xfId="0" applyFont="1" applyFill="1" applyBorder="1" applyAlignment="1">
      <alignment vertical="top" wrapText="1"/>
    </xf>
    <xf numFmtId="0" fontId="17" fillId="15" borderId="32" xfId="0" applyFont="1" applyFill="1" applyBorder="1"/>
    <xf numFmtId="0" fontId="29" fillId="15" borderId="32" xfId="0" applyFont="1" applyFill="1" applyBorder="1"/>
    <xf numFmtId="0" fontId="33" fillId="15" borderId="32" xfId="0" applyFont="1" applyFill="1" applyBorder="1"/>
    <xf numFmtId="0" fontId="6" fillId="10" borderId="32" xfId="0" applyFont="1" applyFill="1" applyBorder="1" applyAlignment="1">
      <alignment horizontal="left" vertical="top" wrapText="1"/>
    </xf>
    <xf numFmtId="0" fontId="28" fillId="10" borderId="32" xfId="0" applyFont="1" applyFill="1" applyBorder="1" applyAlignment="1">
      <alignment horizontal="left" vertical="top" wrapText="1"/>
    </xf>
    <xf numFmtId="0" fontId="17" fillId="16" borderId="32" xfId="0" applyFont="1" applyFill="1" applyBorder="1" applyAlignment="1">
      <alignment vertical="top" wrapText="1"/>
    </xf>
    <xf numFmtId="0" fontId="6" fillId="10" borderId="43" xfId="0" applyFont="1" applyFill="1" applyBorder="1" applyAlignment="1">
      <alignment horizontal="left" vertical="top" wrapText="1"/>
    </xf>
    <xf numFmtId="0" fontId="35" fillId="10" borderId="27" xfId="0" applyFont="1" applyFill="1" applyBorder="1" applyAlignment="1">
      <alignment vertical="top"/>
    </xf>
    <xf numFmtId="1" fontId="29" fillId="10" borderId="33" xfId="0" applyNumberFormat="1" applyFont="1" applyFill="1" applyBorder="1" applyAlignment="1">
      <alignment horizontal="center" vertical="center" shrinkToFit="1"/>
    </xf>
    <xf numFmtId="2" fontId="29" fillId="2" borderId="17" xfId="0" applyNumberFormat="1" applyFont="1" applyFill="1" applyBorder="1" applyAlignment="1">
      <alignment horizontal="center" vertical="center" shrinkToFit="1"/>
    </xf>
    <xf numFmtId="0" fontId="3" fillId="10" borderId="31" xfId="0" applyNumberFormat="1" applyFont="1" applyFill="1" applyBorder="1" applyAlignment="1">
      <alignment horizontal="left" vertical="center" wrapText="1" shrinkToFit="1"/>
    </xf>
    <xf numFmtId="0" fontId="9" fillId="14" borderId="17" xfId="0" applyFont="1" applyFill="1" applyBorder="1" applyAlignment="1">
      <alignment vertical="center"/>
    </xf>
    <xf numFmtId="0" fontId="9" fillId="14" borderId="24" xfId="0" applyFont="1" applyFill="1" applyBorder="1" applyAlignment="1">
      <alignment vertical="center" wrapText="1" shrinkToFit="1"/>
    </xf>
    <xf numFmtId="2" fontId="29" fillId="10" borderId="4" xfId="0" applyNumberFormat="1" applyFont="1" applyFill="1" applyBorder="1" applyAlignment="1">
      <alignment vertical="center" shrinkToFit="1"/>
    </xf>
    <xf numFmtId="0" fontId="52" fillId="10" borderId="0" xfId="0" applyFont="1" applyFill="1" applyAlignment="1">
      <alignment vertical="top"/>
    </xf>
    <xf numFmtId="0" fontId="9" fillId="10" borderId="0" xfId="0" applyFont="1" applyFill="1" applyBorder="1" applyAlignment="1">
      <alignment horizontal="center" vertical="top"/>
    </xf>
    <xf numFmtId="187" fontId="13" fillId="10" borderId="0" xfId="0" applyNumberFormat="1" applyFont="1" applyFill="1" applyAlignment="1">
      <alignment horizontal="left" vertical="top"/>
    </xf>
    <xf numFmtId="0" fontId="3" fillId="10" borderId="31" xfId="0" applyNumberFormat="1" applyFont="1" applyFill="1" applyBorder="1" applyAlignment="1">
      <alignment vertical="center" wrapText="1" shrinkToFit="1"/>
    </xf>
    <xf numFmtId="0" fontId="29" fillId="10" borderId="4" xfId="0" applyFont="1" applyFill="1" applyBorder="1" applyAlignment="1">
      <alignment horizontal="center" vertical="center" shrinkToFit="1"/>
    </xf>
    <xf numFmtId="0" fontId="3" fillId="10" borderId="31" xfId="0" applyFont="1" applyFill="1" applyBorder="1" applyAlignment="1">
      <alignment vertical="center" wrapText="1"/>
    </xf>
    <xf numFmtId="2" fontId="29" fillId="10" borderId="5" xfId="0" applyNumberFormat="1" applyFont="1" applyFill="1" applyBorder="1" applyAlignment="1">
      <alignment horizontal="center" vertical="center" shrinkToFit="1"/>
    </xf>
    <xf numFmtId="2" fontId="29" fillId="10" borderId="8" xfId="0" applyNumberFormat="1" applyFont="1" applyFill="1" applyBorder="1" applyAlignment="1">
      <alignment horizontal="center" vertical="center" shrinkToFit="1"/>
    </xf>
    <xf numFmtId="1" fontId="29" fillId="10" borderId="4" xfId="0" applyNumberFormat="1" applyFont="1" applyFill="1" applyBorder="1" applyAlignment="1">
      <alignment horizontal="center" vertical="center" shrinkToFit="1"/>
    </xf>
    <xf numFmtId="0" fontId="9" fillId="9" borderId="1" xfId="0" applyFont="1" applyFill="1" applyBorder="1" applyAlignment="1">
      <alignment horizontal="center" vertical="center" shrinkToFit="1"/>
    </xf>
    <xf numFmtId="0" fontId="9" fillId="9" borderId="1" xfId="0" applyFont="1" applyFill="1" applyBorder="1" applyAlignment="1">
      <alignment horizontal="center" vertical="center" wrapText="1" shrinkToFit="1"/>
    </xf>
    <xf numFmtId="0" fontId="9" fillId="11" borderId="1" xfId="0" applyFont="1" applyFill="1" applyBorder="1" applyAlignment="1">
      <alignment horizontal="center" vertical="center" wrapText="1" shrinkToFit="1"/>
    </xf>
    <xf numFmtId="0" fontId="9" fillId="11" borderId="1" xfId="0" applyFont="1" applyFill="1" applyBorder="1" applyAlignment="1">
      <alignment horizontal="center" vertical="center" shrinkToFit="1"/>
    </xf>
    <xf numFmtId="0" fontId="9" fillId="13" borderId="6" xfId="0" applyFont="1" applyFill="1" applyBorder="1" applyAlignment="1">
      <alignment horizontal="center" vertical="center" shrinkToFit="1"/>
    </xf>
    <xf numFmtId="0" fontId="9" fillId="13" borderId="6" xfId="0" applyFont="1" applyFill="1" applyBorder="1" applyAlignment="1">
      <alignment horizontal="center" vertical="center" wrapText="1" shrinkToFit="1"/>
    </xf>
    <xf numFmtId="0" fontId="9" fillId="12" borderId="6" xfId="0" applyFont="1" applyFill="1" applyBorder="1" applyAlignment="1">
      <alignment horizontal="center" vertical="center" shrinkToFit="1"/>
    </xf>
    <xf numFmtId="0" fontId="9" fillId="12" borderId="6" xfId="0" applyFont="1" applyFill="1" applyBorder="1" applyAlignment="1">
      <alignment horizontal="center" vertical="center" wrapText="1" shrinkToFit="1"/>
    </xf>
    <xf numFmtId="0" fontId="26" fillId="10" borderId="48" xfId="0" applyFont="1" applyFill="1" applyBorder="1" applyAlignment="1">
      <alignment horizontal="center" vertical="top" shrinkToFit="1"/>
    </xf>
    <xf numFmtId="0" fontId="27" fillId="0" borderId="48" xfId="0" applyFont="1" applyFill="1" applyBorder="1" applyAlignment="1">
      <alignment horizontal="center" vertical="top" shrinkToFit="1"/>
    </xf>
    <xf numFmtId="0" fontId="26" fillId="15" borderId="49" xfId="0" applyFont="1" applyFill="1" applyBorder="1" applyAlignment="1">
      <alignment horizontal="center" vertical="top" shrinkToFit="1"/>
    </xf>
    <xf numFmtId="0" fontId="25" fillId="10" borderId="48" xfId="0" applyFont="1" applyFill="1" applyBorder="1" applyAlignment="1">
      <alignment horizontal="center" vertical="top" shrinkToFit="1"/>
    </xf>
    <xf numFmtId="0" fontId="27" fillId="10" borderId="48" xfId="0" applyFont="1" applyFill="1" applyBorder="1" applyAlignment="1">
      <alignment horizontal="center" vertical="top" shrinkToFit="1"/>
    </xf>
    <xf numFmtId="0" fontId="26" fillId="14" borderId="48" xfId="0" applyFont="1" applyFill="1" applyBorder="1" applyAlignment="1">
      <alignment horizontal="center" vertical="top" shrinkToFit="1"/>
    </xf>
    <xf numFmtId="0" fontId="34" fillId="15" borderId="48" xfId="0" applyFont="1" applyFill="1" applyBorder="1" applyAlignment="1">
      <alignment horizontal="center" vertical="top" shrinkToFit="1"/>
    </xf>
    <xf numFmtId="0" fontId="53" fillId="10" borderId="26" xfId="0" applyNumberFormat="1" applyFont="1" applyFill="1" applyBorder="1" applyAlignment="1">
      <alignment horizontal="left" vertical="center" wrapText="1" shrinkToFit="1"/>
    </xf>
    <xf numFmtId="0" fontId="53" fillId="10" borderId="18" xfId="0" applyNumberFormat="1" applyFont="1" applyFill="1" applyBorder="1" applyAlignment="1">
      <alignment horizontal="left" vertical="center" wrapText="1" shrinkToFit="1"/>
    </xf>
    <xf numFmtId="0" fontId="53" fillId="10" borderId="26" xfId="0" applyFont="1" applyFill="1" applyBorder="1" applyAlignment="1">
      <alignment vertical="center" wrapText="1"/>
    </xf>
    <xf numFmtId="0" fontId="53" fillId="10" borderId="18" xfId="0" applyFont="1" applyFill="1" applyBorder="1" applyAlignment="1">
      <alignment vertical="center" wrapText="1"/>
    </xf>
    <xf numFmtId="0" fontId="54" fillId="10" borderId="4" xfId="0" applyFont="1" applyFill="1" applyBorder="1" applyAlignment="1">
      <alignment horizontal="center" vertical="center" shrinkToFit="1"/>
    </xf>
    <xf numFmtId="2" fontId="29" fillId="2" borderId="19" xfId="0" applyNumberFormat="1" applyFont="1" applyFill="1" applyBorder="1" applyAlignment="1">
      <alignment horizontal="center" vertical="center" shrinkToFit="1"/>
    </xf>
    <xf numFmtId="0" fontId="29" fillId="10" borderId="5" xfId="1" applyNumberFormat="1" applyFont="1" applyFill="1" applyBorder="1" applyAlignment="1">
      <alignment horizontal="center" vertical="top" wrapText="1"/>
    </xf>
    <xf numFmtId="0" fontId="9" fillId="10" borderId="1" xfId="0" applyFont="1" applyFill="1" applyBorder="1" applyAlignment="1">
      <alignment horizontal="center" vertical="top" wrapText="1" shrinkToFit="1"/>
    </xf>
    <xf numFmtId="0" fontId="9" fillId="10" borderId="1" xfId="0" applyFont="1" applyFill="1" applyBorder="1" applyAlignment="1">
      <alignment horizontal="center" vertical="top" wrapText="1"/>
    </xf>
    <xf numFmtId="0" fontId="9" fillId="9" borderId="6" xfId="0" applyFont="1" applyFill="1" applyBorder="1" applyAlignment="1">
      <alignment horizontal="center" vertical="center" wrapText="1" shrinkToFit="1"/>
    </xf>
    <xf numFmtId="0" fontId="9" fillId="5" borderId="1" xfId="0" applyFont="1" applyFill="1" applyBorder="1" applyAlignment="1">
      <alignment horizontal="center" vertical="top" wrapText="1" shrinkToFit="1"/>
    </xf>
    <xf numFmtId="0" fontId="38" fillId="5" borderId="1" xfId="0" applyFont="1" applyFill="1" applyBorder="1" applyAlignment="1">
      <alignment horizontal="center" vertical="top"/>
    </xf>
    <xf numFmtId="2" fontId="9" fillId="10" borderId="4" xfId="0" applyNumberFormat="1" applyFont="1" applyFill="1" applyBorder="1" applyAlignment="1">
      <alignment horizontal="center" vertical="top" shrinkToFit="1"/>
    </xf>
    <xf numFmtId="0" fontId="38" fillId="10" borderId="1" xfId="0" applyFont="1" applyFill="1" applyBorder="1" applyAlignment="1">
      <alignment horizontal="center" vertical="top" wrapText="1"/>
    </xf>
    <xf numFmtId="2" fontId="38" fillId="0" borderId="1" xfId="0" applyNumberFormat="1" applyFont="1" applyBorder="1" applyAlignment="1">
      <alignment horizontal="center" vertical="top" wrapText="1"/>
    </xf>
    <xf numFmtId="0" fontId="9" fillId="10" borderId="10" xfId="0" applyFont="1" applyFill="1" applyBorder="1" applyAlignment="1">
      <alignment horizontal="center" vertical="center" shrinkToFit="1"/>
    </xf>
    <xf numFmtId="0" fontId="9" fillId="10" borderId="13" xfId="0" applyFont="1" applyFill="1" applyBorder="1" applyAlignment="1">
      <alignment horizontal="center" vertical="center" shrinkToFit="1"/>
    </xf>
    <xf numFmtId="0" fontId="3" fillId="10" borderId="5" xfId="0" applyFont="1" applyFill="1" applyBorder="1" applyAlignment="1">
      <alignment horizontal="center" vertical="top" wrapText="1"/>
    </xf>
    <xf numFmtId="0" fontId="3" fillId="10" borderId="1" xfId="0" applyFont="1" applyFill="1" applyBorder="1" applyAlignment="1">
      <alignment horizontal="center" vertical="top" wrapText="1"/>
    </xf>
    <xf numFmtId="43" fontId="12" fillId="10" borderId="16" xfId="0" applyNumberFormat="1" applyFont="1" applyFill="1" applyBorder="1" applyAlignment="1">
      <alignment horizontal="center" vertical="center" wrapText="1"/>
    </xf>
    <xf numFmtId="43" fontId="12" fillId="10" borderId="1" xfId="0" applyNumberFormat="1" applyFont="1" applyFill="1" applyBorder="1" applyAlignment="1">
      <alignment horizontal="center" vertical="center" wrapText="1"/>
    </xf>
    <xf numFmtId="0" fontId="25" fillId="10" borderId="8" xfId="0" applyFont="1" applyFill="1" applyBorder="1" applyAlignment="1">
      <alignment horizontal="center" vertical="center" shrinkToFit="1"/>
    </xf>
    <xf numFmtId="0" fontId="6" fillId="10" borderId="25" xfId="0" applyFont="1" applyFill="1" applyBorder="1" applyAlignment="1">
      <alignment vertical="top" wrapText="1"/>
    </xf>
    <xf numFmtId="0" fontId="53" fillId="10" borderId="26" xfId="0" applyNumberFormat="1" applyFont="1" applyFill="1" applyBorder="1" applyAlignment="1">
      <alignment vertical="center" wrapText="1" shrinkToFit="1"/>
    </xf>
    <xf numFmtId="2" fontId="25" fillId="10" borderId="5" xfId="0" applyNumberFormat="1" applyFont="1" applyFill="1" applyBorder="1" applyAlignment="1">
      <alignment horizontal="center" vertical="center" shrinkToFit="1"/>
    </xf>
    <xf numFmtId="0" fontId="29" fillId="9" borderId="4" xfId="0" applyFont="1" applyFill="1" applyBorder="1" applyAlignment="1">
      <alignment vertical="center" shrinkToFit="1"/>
    </xf>
    <xf numFmtId="2" fontId="9" fillId="9" borderId="4" xfId="0" applyNumberFormat="1" applyFont="1" applyFill="1" applyBorder="1" applyAlignment="1">
      <alignment horizontal="center" vertical="center" shrinkToFit="1"/>
    </xf>
    <xf numFmtId="0" fontId="55" fillId="9" borderId="3" xfId="0" applyFont="1" applyFill="1" applyBorder="1" applyAlignment="1">
      <alignment vertical="center" shrinkToFit="1"/>
    </xf>
    <xf numFmtId="0" fontId="55" fillId="9" borderId="32" xfId="0" applyFont="1" applyFill="1" applyBorder="1" applyAlignment="1">
      <alignment vertical="center" shrinkToFit="1"/>
    </xf>
    <xf numFmtId="0" fontId="55" fillId="9" borderId="25" xfId="0" applyFont="1" applyFill="1" applyBorder="1" applyAlignment="1">
      <alignment horizontal="center" vertical="center" shrinkToFit="1"/>
    </xf>
    <xf numFmtId="2" fontId="55" fillId="9" borderId="3" xfId="0" applyNumberFormat="1" applyFont="1" applyFill="1" applyBorder="1" applyAlignment="1">
      <alignment horizontal="center" vertical="center" shrinkToFit="1"/>
    </xf>
    <xf numFmtId="0" fontId="55" fillId="9" borderId="4" xfId="0" applyFont="1" applyFill="1" applyBorder="1" applyAlignment="1">
      <alignment vertical="center" shrinkToFit="1"/>
    </xf>
    <xf numFmtId="0" fontId="55" fillId="9" borderId="27" xfId="0" applyFont="1" applyFill="1" applyBorder="1" applyAlignment="1">
      <alignment vertical="center" shrinkToFit="1"/>
    </xf>
    <xf numFmtId="0" fontId="55" fillId="9" borderId="31" xfId="0" applyFont="1" applyFill="1" applyBorder="1" applyAlignment="1">
      <alignment horizontal="center" vertical="center" shrinkToFit="1"/>
    </xf>
    <xf numFmtId="2" fontId="55" fillId="9" borderId="4" xfId="0" applyNumberFormat="1" applyFont="1" applyFill="1" applyBorder="1" applyAlignment="1">
      <alignment horizontal="center" vertical="center" shrinkToFit="1"/>
    </xf>
    <xf numFmtId="2" fontId="13" fillId="6" borderId="1" xfId="0" applyNumberFormat="1" applyFont="1" applyFill="1" applyBorder="1" applyAlignment="1">
      <alignment horizontal="center" vertical="top"/>
    </xf>
    <xf numFmtId="2" fontId="42" fillId="0" borderId="1" xfId="0" applyNumberFormat="1" applyFont="1" applyBorder="1" applyAlignment="1">
      <alignment horizontal="center" vertical="top" wrapText="1"/>
    </xf>
    <xf numFmtId="0" fontId="14" fillId="10" borderId="0" xfId="0" applyFont="1" applyFill="1" applyBorder="1" applyAlignment="1">
      <alignment horizontal="left" vertical="top" wrapText="1"/>
    </xf>
    <xf numFmtId="0" fontId="32" fillId="10" borderId="45" xfId="0" applyFont="1" applyFill="1" applyBorder="1" applyAlignment="1">
      <alignment horizontal="left" vertical="top" wrapText="1" shrinkToFit="1"/>
    </xf>
    <xf numFmtId="0" fontId="32" fillId="10" borderId="46" xfId="0" applyFont="1" applyFill="1" applyBorder="1" applyAlignment="1">
      <alignment horizontal="left" vertical="top" wrapText="1" shrinkToFit="1"/>
    </xf>
    <xf numFmtId="0" fontId="32" fillId="10" borderId="0" xfId="0" applyFont="1" applyFill="1" applyAlignment="1">
      <alignment horizontal="left" wrapText="1"/>
    </xf>
    <xf numFmtId="0" fontId="5" fillId="10" borderId="0" xfId="0" applyFont="1" applyFill="1" applyAlignment="1">
      <alignment vertical="top" wrapText="1"/>
    </xf>
    <xf numFmtId="0" fontId="13" fillId="10" borderId="32" xfId="0" applyFont="1" applyFill="1" applyBorder="1" applyAlignment="1">
      <alignment horizontal="left" vertical="top" wrapText="1"/>
    </xf>
    <xf numFmtId="0" fontId="26" fillId="10" borderId="49" xfId="0" applyFont="1" applyFill="1" applyBorder="1" applyAlignment="1">
      <alignment horizontal="center" vertical="top" shrinkToFit="1"/>
    </xf>
    <xf numFmtId="0" fontId="3" fillId="10" borderId="31" xfId="0" applyFont="1" applyFill="1" applyBorder="1" applyAlignment="1">
      <alignment vertical="center" wrapText="1" shrinkToFit="1"/>
    </xf>
    <xf numFmtId="0" fontId="29" fillId="10" borderId="4" xfId="0" applyFont="1" applyFill="1" applyBorder="1" applyAlignment="1">
      <alignment horizontal="center" vertical="center" shrinkToFit="1"/>
    </xf>
    <xf numFmtId="0" fontId="9" fillId="10" borderId="0" xfId="0" applyFont="1" applyFill="1" applyBorder="1" applyAlignment="1">
      <alignment horizontal="center" vertical="top"/>
    </xf>
    <xf numFmtId="0" fontId="25" fillId="10" borderId="4" xfId="0" applyFont="1" applyFill="1" applyBorder="1" applyAlignment="1">
      <alignment horizontal="center" vertical="center" shrinkToFit="1"/>
    </xf>
    <xf numFmtId="0" fontId="25" fillId="10" borderId="8" xfId="0" applyFont="1" applyFill="1" applyBorder="1" applyAlignment="1">
      <alignment horizontal="center" vertical="center" shrinkToFit="1"/>
    </xf>
    <xf numFmtId="1" fontId="29" fillId="10" borderId="4" xfId="0" applyNumberFormat="1" applyFont="1" applyFill="1" applyBorder="1" applyAlignment="1">
      <alignment horizontal="center" vertical="center" shrinkToFit="1"/>
    </xf>
    <xf numFmtId="0" fontId="29" fillId="10" borderId="8" xfId="0" applyFont="1" applyFill="1" applyBorder="1" applyAlignment="1">
      <alignment horizontal="center" vertical="center" shrinkToFit="1"/>
    </xf>
    <xf numFmtId="0" fontId="25" fillId="10" borderId="0" xfId="0" applyFont="1" applyFill="1" applyBorder="1" applyAlignment="1">
      <alignment horizontal="center" vertical="top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top" wrapText="1"/>
    </xf>
    <xf numFmtId="0" fontId="43" fillId="10" borderId="0" xfId="0" applyFont="1" applyFill="1" applyAlignment="1">
      <alignment vertical="top" wrapText="1"/>
    </xf>
    <xf numFmtId="0" fontId="8" fillId="10" borderId="0" xfId="0" applyFont="1" applyFill="1" applyAlignment="1">
      <alignment vertical="top" wrapText="1"/>
    </xf>
    <xf numFmtId="0" fontId="22" fillId="0" borderId="3" xfId="0" applyFont="1" applyBorder="1" applyAlignment="1">
      <alignment vertical="top" wrapText="1"/>
    </xf>
    <xf numFmtId="0" fontId="8" fillId="10" borderId="3" xfId="0" applyFont="1" applyFill="1" applyBorder="1" applyAlignment="1">
      <alignment vertical="top" wrapText="1" shrinkToFit="1"/>
    </xf>
    <xf numFmtId="0" fontId="11" fillId="15" borderId="3" xfId="0" applyFont="1" applyFill="1" applyBorder="1" applyAlignment="1">
      <alignment vertical="top" shrinkToFit="1"/>
    </xf>
    <xf numFmtId="0" fontId="11" fillId="22" borderId="3" xfId="0" applyFont="1" applyFill="1" applyBorder="1" applyAlignment="1">
      <alignment vertical="top" wrapText="1"/>
    </xf>
    <xf numFmtId="0" fontId="60" fillId="15" borderId="32" xfId="0" applyFont="1" applyFill="1" applyBorder="1" applyAlignment="1">
      <alignment vertical="top" wrapText="1"/>
    </xf>
    <xf numFmtId="0" fontId="60" fillId="15" borderId="3" xfId="0" applyFont="1" applyFill="1" applyBorder="1" applyAlignment="1">
      <alignment vertical="top" wrapText="1"/>
    </xf>
    <xf numFmtId="0" fontId="32" fillId="0" borderId="26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left" vertical="top" wrapText="1" indent="2"/>
    </xf>
    <xf numFmtId="0" fontId="32" fillId="0" borderId="0" xfId="0" applyFont="1" applyFill="1"/>
    <xf numFmtId="0" fontId="32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13" fillId="0" borderId="3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32" xfId="0" applyFont="1" applyFill="1" applyBorder="1" applyAlignment="1">
      <alignment horizontal="left" vertical="top" wrapText="1"/>
    </xf>
    <xf numFmtId="0" fontId="6" fillId="16" borderId="3" xfId="0" applyFont="1" applyFill="1" applyBorder="1" applyAlignment="1">
      <alignment vertical="top" wrapText="1"/>
    </xf>
    <xf numFmtId="0" fontId="13" fillId="16" borderId="32" xfId="0" applyFont="1" applyFill="1" applyBorder="1" applyAlignment="1">
      <alignment vertical="top" wrapText="1"/>
    </xf>
    <xf numFmtId="0" fontId="9" fillId="16" borderId="32" xfId="0" applyFont="1" applyFill="1" applyBorder="1" applyAlignment="1">
      <alignment vertical="top" wrapText="1"/>
    </xf>
    <xf numFmtId="0" fontId="32" fillId="16" borderId="5" xfId="0" applyFont="1" applyFill="1" applyBorder="1" applyAlignment="1">
      <alignment horizontal="center" vertical="top" wrapText="1"/>
    </xf>
    <xf numFmtId="0" fontId="9" fillId="16" borderId="32" xfId="0" applyFont="1" applyFill="1" applyBorder="1" applyAlignment="1">
      <alignment horizontal="left" vertical="top" wrapText="1"/>
    </xf>
    <xf numFmtId="2" fontId="25" fillId="14" borderId="50" xfId="0" applyNumberFormat="1" applyFont="1" applyFill="1" applyBorder="1" applyAlignment="1">
      <alignment horizontal="center" vertical="top" shrinkToFit="1"/>
    </xf>
    <xf numFmtId="0" fontId="14" fillId="16" borderId="26" xfId="0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horizontal="center" vertical="top" wrapText="1"/>
    </xf>
    <xf numFmtId="0" fontId="6" fillId="6" borderId="25" xfId="0" applyFont="1" applyFill="1" applyBorder="1" applyAlignment="1">
      <alignment vertical="top" wrapText="1"/>
    </xf>
    <xf numFmtId="0" fontId="3" fillId="6" borderId="32" xfId="0" applyFont="1" applyFill="1" applyBorder="1" applyAlignment="1">
      <alignment vertical="top" wrapText="1"/>
    </xf>
    <xf numFmtId="0" fontId="26" fillId="6" borderId="48" xfId="0" applyFont="1" applyFill="1" applyBorder="1" applyAlignment="1">
      <alignment horizontal="center" vertical="top" shrinkToFit="1"/>
    </xf>
    <xf numFmtId="2" fontId="25" fillId="23" borderId="50" xfId="0" applyNumberFormat="1" applyFont="1" applyFill="1" applyBorder="1" applyAlignment="1">
      <alignment horizontal="center" vertical="top" shrinkToFit="1"/>
    </xf>
    <xf numFmtId="0" fontId="16" fillId="16" borderId="9" xfId="0" applyFont="1" applyFill="1" applyBorder="1" applyAlignment="1">
      <alignment vertical="top" wrapText="1"/>
    </xf>
    <xf numFmtId="0" fontId="17" fillId="16" borderId="39" xfId="0" applyFont="1" applyFill="1" applyBorder="1" applyAlignment="1">
      <alignment vertical="top" wrapText="1"/>
    </xf>
    <xf numFmtId="0" fontId="16" fillId="16" borderId="3" xfId="0" applyFont="1" applyFill="1" applyBorder="1" applyAlignment="1">
      <alignment vertical="top" wrapText="1"/>
    </xf>
    <xf numFmtId="0" fontId="25" fillId="16" borderId="48" xfId="0" applyFont="1" applyFill="1" applyBorder="1" applyAlignment="1">
      <alignment horizontal="center" vertical="top" shrinkToFit="1"/>
    </xf>
    <xf numFmtId="0" fontId="9" fillId="16" borderId="32" xfId="0" applyNumberFormat="1" applyFont="1" applyFill="1" applyBorder="1" applyAlignment="1">
      <alignment horizontal="left" vertical="top" wrapText="1" shrinkToFit="1"/>
    </xf>
    <xf numFmtId="2" fontId="25" fillId="16" borderId="48" xfId="0" applyNumberFormat="1" applyFont="1" applyFill="1" applyBorder="1" applyAlignment="1">
      <alignment horizontal="center" vertical="top" shrinkToFit="1"/>
    </xf>
    <xf numFmtId="4" fontId="25" fillId="16" borderId="48" xfId="0" applyNumberFormat="1" applyFont="1" applyFill="1" applyBorder="1" applyAlignment="1">
      <alignment horizontal="center" vertical="top" shrinkToFit="1"/>
    </xf>
    <xf numFmtId="0" fontId="6" fillId="16" borderId="25" xfId="0" applyFont="1" applyFill="1" applyBorder="1" applyAlignment="1">
      <alignment vertical="top" wrapText="1"/>
    </xf>
    <xf numFmtId="0" fontId="3" fillId="16" borderId="32" xfId="0" applyFont="1" applyFill="1" applyBorder="1" applyAlignment="1">
      <alignment vertical="top" wrapText="1"/>
    </xf>
    <xf numFmtId="0" fontId="26" fillId="16" borderId="48" xfId="0" applyFont="1" applyFill="1" applyBorder="1" applyAlignment="1">
      <alignment horizontal="center" vertical="top" shrinkToFit="1"/>
    </xf>
    <xf numFmtId="0" fontId="29" fillId="16" borderId="3" xfId="0" applyFont="1" applyFill="1" applyBorder="1" applyAlignment="1">
      <alignment vertical="top" wrapText="1"/>
    </xf>
    <xf numFmtId="0" fontId="29" fillId="16" borderId="32" xfId="0" applyFont="1" applyFill="1" applyBorder="1" applyAlignment="1">
      <alignment vertical="top" wrapText="1"/>
    </xf>
    <xf numFmtId="2" fontId="25" fillId="23" borderId="51" xfId="0" applyNumberFormat="1" applyFont="1" applyFill="1" applyBorder="1" applyAlignment="1">
      <alignment horizontal="center" vertical="top" shrinkToFit="1"/>
    </xf>
    <xf numFmtId="0" fontId="25" fillId="16" borderId="49" xfId="0" applyFont="1" applyFill="1" applyBorder="1" applyAlignment="1">
      <alignment horizontal="center" vertical="top" shrinkToFit="1"/>
    </xf>
    <xf numFmtId="0" fontId="25" fillId="16" borderId="47" xfId="0" applyFont="1" applyFill="1" applyBorder="1" applyAlignment="1">
      <alignment horizontal="center" vertical="top" shrinkToFit="1"/>
    </xf>
    <xf numFmtId="2" fontId="25" fillId="23" borderId="55" xfId="0" applyNumberFormat="1" applyFont="1" applyFill="1" applyBorder="1" applyAlignment="1">
      <alignment horizontal="center" vertical="top" shrinkToFit="1"/>
    </xf>
    <xf numFmtId="0" fontId="9" fillId="10" borderId="32" xfId="0" applyFont="1" applyFill="1" applyBorder="1" applyAlignment="1">
      <alignment horizontal="left" vertical="top" wrapText="1"/>
    </xf>
    <xf numFmtId="0" fontId="4" fillId="10" borderId="32" xfId="0" applyFont="1" applyFill="1" applyBorder="1" applyAlignment="1">
      <alignment horizontal="left" vertical="top" wrapText="1"/>
    </xf>
    <xf numFmtId="0" fontId="4" fillId="10" borderId="17" xfId="0" applyFont="1" applyFill="1" applyBorder="1" applyAlignment="1">
      <alignment horizontal="left" vertical="top" wrapText="1"/>
    </xf>
    <xf numFmtId="0" fontId="4" fillId="14" borderId="32" xfId="0" applyFont="1" applyFill="1" applyBorder="1" applyAlignment="1">
      <alignment horizontal="left" vertical="top" wrapText="1" indent="2"/>
    </xf>
    <xf numFmtId="0" fontId="4" fillId="14" borderId="32" xfId="0" applyFont="1" applyFill="1" applyBorder="1" applyAlignment="1">
      <alignment vertical="top" wrapText="1"/>
    </xf>
    <xf numFmtId="0" fontId="12" fillId="10" borderId="3" xfId="0" applyFont="1" applyFill="1" applyBorder="1" applyAlignment="1">
      <alignment horizontal="center" vertical="top" shrinkToFit="1"/>
    </xf>
    <xf numFmtId="0" fontId="11" fillId="15" borderId="3" xfId="0" applyFont="1" applyFill="1" applyBorder="1" applyAlignment="1">
      <alignment horizontal="center" vertical="top" shrinkToFit="1"/>
    </xf>
    <xf numFmtId="0" fontId="11" fillId="22" borderId="3" xfId="0" applyFont="1" applyFill="1" applyBorder="1" applyAlignment="1">
      <alignment horizontal="center" vertical="top" wrapText="1"/>
    </xf>
    <xf numFmtId="0" fontId="25" fillId="15" borderId="48" xfId="0" applyFont="1" applyFill="1" applyBorder="1" applyAlignment="1">
      <alignment horizontal="center" vertical="top" shrinkToFit="1"/>
    </xf>
    <xf numFmtId="2" fontId="25" fillId="15" borderId="48" xfId="0" applyNumberFormat="1" applyFont="1" applyFill="1" applyBorder="1" applyAlignment="1">
      <alignment horizontal="center" vertical="top" shrinkToFit="1"/>
    </xf>
    <xf numFmtId="2" fontId="25" fillId="15" borderId="48" xfId="0" applyNumberFormat="1" applyFont="1" applyFill="1" applyBorder="1" applyAlignment="1">
      <alignment horizontal="center" shrinkToFit="1"/>
    </xf>
    <xf numFmtId="2" fontId="63" fillId="16" borderId="46" xfId="0" applyNumberFormat="1" applyFont="1" applyFill="1" applyBorder="1" applyAlignment="1">
      <alignment horizontal="center" vertical="top" shrinkToFit="1"/>
    </xf>
    <xf numFmtId="0" fontId="27" fillId="24" borderId="48" xfId="0" applyFont="1" applyFill="1" applyBorder="1" applyAlignment="1">
      <alignment horizontal="center" vertical="top" shrinkToFit="1"/>
    </xf>
    <xf numFmtId="0" fontId="64" fillId="10" borderId="48" xfId="0" applyFont="1" applyFill="1" applyBorder="1" applyAlignment="1">
      <alignment horizontal="center" vertical="top" shrinkToFit="1"/>
    </xf>
    <xf numFmtId="0" fontId="65" fillId="16" borderId="32" xfId="0" applyFont="1" applyFill="1" applyBorder="1" applyAlignment="1">
      <alignment vertical="top" wrapText="1"/>
    </xf>
    <xf numFmtId="188" fontId="30" fillId="10" borderId="48" xfId="1" applyNumberFormat="1" applyFont="1" applyFill="1" applyBorder="1" applyAlignment="1">
      <alignment horizontal="center" vertical="center" shrinkToFit="1"/>
    </xf>
    <xf numFmtId="0" fontId="23" fillId="10" borderId="45" xfId="0" applyFont="1" applyFill="1" applyBorder="1" applyAlignment="1">
      <alignment horizontal="left" vertical="top" wrapText="1" shrinkToFit="1"/>
    </xf>
    <xf numFmtId="0" fontId="32" fillId="15" borderId="45" xfId="0" applyFont="1" applyFill="1" applyBorder="1" applyAlignment="1">
      <alignment horizontal="left" vertical="top" wrapText="1" shrinkToFit="1"/>
    </xf>
    <xf numFmtId="0" fontId="14" fillId="16" borderId="58" xfId="0" applyFont="1" applyFill="1" applyBorder="1" applyAlignment="1">
      <alignment horizontal="left" vertical="top" wrapText="1" shrinkToFit="1"/>
    </xf>
    <xf numFmtId="0" fontId="56" fillId="0" borderId="45" xfId="0" applyFont="1" applyFill="1" applyBorder="1" applyAlignment="1">
      <alignment horizontal="left" vertical="top" wrapText="1" shrinkToFit="1"/>
    </xf>
    <xf numFmtId="0" fontId="32" fillId="15" borderId="60" xfId="0" applyFont="1" applyFill="1" applyBorder="1" applyAlignment="1">
      <alignment horizontal="left" vertical="top" wrapText="1" shrinkToFit="1"/>
    </xf>
    <xf numFmtId="0" fontId="14" fillId="16" borderId="61" xfId="0" applyFont="1" applyFill="1" applyBorder="1" applyAlignment="1">
      <alignment horizontal="left" vertical="top" wrapText="1" shrinkToFit="1"/>
    </xf>
    <xf numFmtId="2" fontId="14" fillId="16" borderId="45" xfId="0" applyNumberFormat="1" applyFont="1" applyFill="1" applyBorder="1" applyAlignment="1">
      <alignment horizontal="left" vertical="top" wrapText="1" shrinkToFit="1"/>
    </xf>
    <xf numFmtId="0" fontId="14" fillId="14" borderId="45" xfId="0" applyNumberFormat="1" applyFont="1" applyFill="1" applyBorder="1" applyAlignment="1">
      <alignment horizontal="left" vertical="center" wrapText="1" shrinkToFit="1"/>
    </xf>
    <xf numFmtId="0" fontId="14" fillId="16" borderId="59" xfId="0" applyNumberFormat="1" applyFont="1" applyFill="1" applyBorder="1" applyAlignment="1">
      <alignment horizontal="left" vertical="center" wrapText="1" shrinkToFit="1"/>
    </xf>
    <xf numFmtId="0" fontId="14" fillId="16" borderId="45" xfId="0" applyNumberFormat="1" applyFont="1" applyFill="1" applyBorder="1" applyAlignment="1">
      <alignment horizontal="left" vertical="center" wrapText="1" shrinkToFit="1"/>
    </xf>
    <xf numFmtId="0" fontId="14" fillId="0" borderId="45" xfId="0" applyNumberFormat="1" applyFont="1" applyFill="1" applyBorder="1" applyAlignment="1">
      <alignment horizontal="left" vertical="center" wrapText="1" shrinkToFit="1"/>
    </xf>
    <xf numFmtId="0" fontId="32" fillId="15" borderId="45" xfId="0" applyFont="1" applyFill="1" applyBorder="1" applyAlignment="1">
      <alignment horizontal="left" wrapText="1" shrinkToFit="1"/>
    </xf>
    <xf numFmtId="0" fontId="14" fillId="16" borderId="45" xfId="0" applyFont="1" applyFill="1" applyBorder="1" applyAlignment="1">
      <alignment horizontal="left" vertical="top" wrapText="1" shrinkToFit="1"/>
    </xf>
    <xf numFmtId="0" fontId="56" fillId="10" borderId="45" xfId="0" applyFont="1" applyFill="1" applyBorder="1" applyAlignment="1">
      <alignment horizontal="left" vertical="top" wrapText="1" shrinkToFit="1"/>
    </xf>
    <xf numFmtId="0" fontId="14" fillId="10" borderId="45" xfId="0" applyFont="1" applyFill="1" applyBorder="1" applyAlignment="1">
      <alignment horizontal="left" vertical="top" wrapText="1" shrinkToFit="1"/>
    </xf>
    <xf numFmtId="0" fontId="32" fillId="6" borderId="45" xfId="0" applyFont="1" applyFill="1" applyBorder="1" applyAlignment="1">
      <alignment horizontal="left" vertical="top" wrapText="1" shrinkToFit="1"/>
    </xf>
    <xf numFmtId="0" fontId="32" fillId="16" borderId="45" xfId="0" applyFont="1" applyFill="1" applyBorder="1" applyAlignment="1">
      <alignment horizontal="left" vertical="top" wrapText="1" shrinkToFit="1"/>
    </xf>
    <xf numFmtId="0" fontId="32" fillId="10" borderId="60" xfId="0" applyFont="1" applyFill="1" applyBorder="1" applyAlignment="1">
      <alignment horizontal="left" vertical="top" wrapText="1"/>
    </xf>
    <xf numFmtId="188" fontId="67" fillId="10" borderId="48" xfId="1" applyNumberFormat="1" applyFont="1" applyFill="1" applyBorder="1" applyAlignment="1">
      <alignment horizontal="center" vertical="center" shrinkToFit="1"/>
    </xf>
    <xf numFmtId="0" fontId="26" fillId="13" borderId="48" xfId="0" applyFont="1" applyFill="1" applyBorder="1" applyAlignment="1">
      <alignment horizontal="center" vertical="top" shrinkToFit="1"/>
    </xf>
    <xf numFmtId="0" fontId="27" fillId="13" borderId="48" xfId="0" applyFont="1" applyFill="1" applyBorder="1" applyAlignment="1">
      <alignment horizontal="center" vertical="top" shrinkToFit="1"/>
    </xf>
    <xf numFmtId="0" fontId="68" fillId="13" borderId="48" xfId="0" applyFont="1" applyFill="1" applyBorder="1" applyAlignment="1">
      <alignment horizontal="center" vertical="top" shrinkToFit="1"/>
    </xf>
    <xf numFmtId="0" fontId="26" fillId="13" borderId="49" xfId="0" applyFont="1" applyFill="1" applyBorder="1" applyAlignment="1">
      <alignment horizontal="center" vertical="top" shrinkToFit="1"/>
    </xf>
    <xf numFmtId="0" fontId="26" fillId="13" borderId="45" xfId="0" applyFont="1" applyFill="1" applyBorder="1" applyAlignment="1">
      <alignment horizontal="center" vertical="top" shrinkToFit="1"/>
    </xf>
    <xf numFmtId="0" fontId="68" fillId="13" borderId="46" xfId="0" applyFont="1" applyFill="1" applyBorder="1" applyAlignment="1">
      <alignment horizontal="center" vertical="top" shrinkToFit="1"/>
    </xf>
    <xf numFmtId="0" fontId="4" fillId="10" borderId="45" xfId="0" applyFont="1" applyFill="1" applyBorder="1" applyAlignment="1">
      <alignment horizontal="left" vertical="top" wrapText="1" shrinkToFit="1"/>
    </xf>
    <xf numFmtId="0" fontId="4" fillId="10" borderId="62" xfId="0" applyFont="1" applyFill="1" applyBorder="1" applyAlignment="1">
      <alignment vertical="top" wrapText="1"/>
    </xf>
    <xf numFmtId="0" fontId="59" fillId="13" borderId="47" xfId="0" applyFont="1" applyFill="1" applyBorder="1" applyAlignment="1">
      <alignment horizontal="center" vertical="center" wrapText="1"/>
    </xf>
    <xf numFmtId="2" fontId="68" fillId="15" borderId="48" xfId="0" applyNumberFormat="1" applyFont="1" applyFill="1" applyBorder="1" applyAlignment="1">
      <alignment horizontal="center" vertical="top" shrinkToFit="1"/>
    </xf>
    <xf numFmtId="2" fontId="68" fillId="15" borderId="48" xfId="0" applyNumberFormat="1" applyFont="1" applyFill="1" applyBorder="1" applyAlignment="1">
      <alignment horizontal="center" shrinkToFit="1"/>
    </xf>
    <xf numFmtId="2" fontId="25" fillId="23" borderId="48" xfId="0" applyNumberFormat="1" applyFont="1" applyFill="1" applyBorder="1" applyAlignment="1">
      <alignment horizontal="center" vertical="top" shrinkToFit="1"/>
    </xf>
    <xf numFmtId="0" fontId="30" fillId="14" borderId="48" xfId="0" applyNumberFormat="1" applyFont="1" applyFill="1" applyBorder="1" applyAlignment="1">
      <alignment horizontal="center" vertical="center" shrinkToFit="1"/>
    </xf>
    <xf numFmtId="0" fontId="30" fillId="23" borderId="48" xfId="0" applyNumberFormat="1" applyFont="1" applyFill="1" applyBorder="1" applyAlignment="1">
      <alignment horizontal="center" vertical="center" shrinkToFit="1"/>
    </xf>
    <xf numFmtId="2" fontId="30" fillId="16" borderId="51" xfId="0" applyNumberFormat="1" applyFont="1" applyFill="1" applyBorder="1" applyAlignment="1">
      <alignment horizontal="center" vertical="center" shrinkToFit="1"/>
    </xf>
    <xf numFmtId="2" fontId="30" fillId="23" borderId="51" xfId="0" applyNumberFormat="1" applyFont="1" applyFill="1" applyBorder="1" applyAlignment="1">
      <alignment horizontal="center" vertical="center" shrinkToFit="1"/>
    </xf>
    <xf numFmtId="2" fontId="30" fillId="16" borderId="48" xfId="0" applyNumberFormat="1" applyFont="1" applyFill="1" applyBorder="1" applyAlignment="1">
      <alignment horizontal="center" vertical="center" shrinkToFit="1"/>
    </xf>
    <xf numFmtId="2" fontId="30" fillId="14" borderId="48" xfId="0" applyNumberFormat="1" applyFont="1" applyFill="1" applyBorder="1" applyAlignment="1">
      <alignment horizontal="center" vertical="center" shrinkToFit="1"/>
    </xf>
    <xf numFmtId="188" fontId="30" fillId="14" borderId="48" xfId="1" applyNumberFormat="1" applyFont="1" applyFill="1" applyBorder="1" applyAlignment="1">
      <alignment horizontal="center" vertical="center" shrinkToFit="1"/>
    </xf>
    <xf numFmtId="2" fontId="30" fillId="16" borderId="48" xfId="1" applyNumberFormat="1" applyFont="1" applyFill="1" applyBorder="1" applyAlignment="1">
      <alignment horizontal="center" vertical="top" shrinkToFit="1"/>
    </xf>
    <xf numFmtId="188" fontId="30" fillId="10" borderId="48" xfId="0" applyNumberFormat="1" applyFont="1" applyFill="1" applyBorder="1" applyAlignment="1">
      <alignment horizontal="center" vertical="center" shrinkToFit="1"/>
    </xf>
    <xf numFmtId="0" fontId="30" fillId="0" borderId="48" xfId="0" applyNumberFormat="1" applyFont="1" applyFill="1" applyBorder="1" applyAlignment="1">
      <alignment horizontal="center" vertical="center" shrinkToFit="1"/>
    </xf>
    <xf numFmtId="0" fontId="30" fillId="13" borderId="48" xfId="0" applyNumberFormat="1" applyFont="1" applyFill="1" applyBorder="1" applyAlignment="1">
      <alignment horizontal="center" vertical="center" shrinkToFit="1"/>
    </xf>
    <xf numFmtId="0" fontId="30" fillId="23" borderId="54" xfId="0" applyNumberFormat="1" applyFont="1" applyFill="1" applyBorder="1" applyAlignment="1">
      <alignment horizontal="center" vertical="center" shrinkToFit="1"/>
    </xf>
    <xf numFmtId="0" fontId="13" fillId="10" borderId="7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16" fillId="13" borderId="28" xfId="0" applyFont="1" applyFill="1" applyBorder="1" applyAlignment="1">
      <alignment vertical="top" wrapText="1"/>
    </xf>
    <xf numFmtId="0" fontId="62" fillId="13" borderId="43" xfId="0" applyFont="1" applyFill="1" applyBorder="1" applyAlignment="1">
      <alignment vertical="top" wrapText="1"/>
    </xf>
    <xf numFmtId="2" fontId="52" fillId="13" borderId="46" xfId="0" applyNumberFormat="1" applyFont="1" applyFill="1" applyBorder="1" applyAlignment="1">
      <alignment horizontal="center" vertical="top" shrinkToFit="1"/>
    </xf>
    <xf numFmtId="2" fontId="14" fillId="13" borderId="46" xfId="0" applyNumberFormat="1" applyFont="1" applyFill="1" applyBorder="1" applyAlignment="1">
      <alignment horizontal="left" vertical="top" wrapText="1" shrinkToFit="1"/>
    </xf>
    <xf numFmtId="0" fontId="16" fillId="13" borderId="8" xfId="0" applyFont="1" applyFill="1" applyBorder="1" applyAlignment="1">
      <alignment vertical="top" wrapText="1"/>
    </xf>
    <xf numFmtId="0" fontId="17" fillId="13" borderId="17" xfId="0" applyFont="1" applyFill="1" applyBorder="1" applyAlignment="1">
      <alignment vertical="top" wrapText="1"/>
    </xf>
    <xf numFmtId="2" fontId="25" fillId="13" borderId="48" xfId="0" applyNumberFormat="1" applyFont="1" applyFill="1" applyBorder="1" applyAlignment="1">
      <alignment horizontal="center" vertical="center" shrinkToFit="1"/>
    </xf>
    <xf numFmtId="0" fontId="14" fillId="13" borderId="59" xfId="0" applyFont="1" applyFill="1" applyBorder="1" applyAlignment="1">
      <alignment horizontal="left" vertical="top" wrapText="1" shrinkToFit="1"/>
    </xf>
    <xf numFmtId="0" fontId="6" fillId="13" borderId="3" xfId="0" applyFont="1" applyFill="1" applyBorder="1" applyAlignment="1">
      <alignment vertical="top" wrapText="1"/>
    </xf>
    <xf numFmtId="0" fontId="32" fillId="13" borderId="26" xfId="0" applyFont="1" applyFill="1" applyBorder="1" applyAlignment="1">
      <alignment horizontal="center" vertical="top" wrapText="1"/>
    </xf>
    <xf numFmtId="2" fontId="25" fillId="13" borderId="5" xfId="0" applyNumberFormat="1" applyFont="1" applyFill="1" applyBorder="1" applyAlignment="1">
      <alignment horizontal="center" vertical="center" shrinkToFit="1"/>
    </xf>
    <xf numFmtId="0" fontId="14" fillId="13" borderId="45" xfId="0" applyNumberFormat="1" applyFont="1" applyFill="1" applyBorder="1" applyAlignment="1">
      <alignment horizontal="left" vertical="center" wrapText="1" shrinkToFit="1"/>
    </xf>
    <xf numFmtId="2" fontId="29" fillId="13" borderId="5" xfId="0" applyNumberFormat="1" applyFont="1" applyFill="1" applyBorder="1" applyAlignment="1">
      <alignment horizontal="center" vertical="center" shrinkToFit="1"/>
    </xf>
    <xf numFmtId="0" fontId="14" fillId="13" borderId="26" xfId="0" applyFont="1" applyFill="1" applyBorder="1" applyAlignment="1">
      <alignment horizontal="center" vertical="top" wrapText="1"/>
    </xf>
    <xf numFmtId="0" fontId="16" fillId="13" borderId="3" xfId="0" applyFont="1" applyFill="1" applyBorder="1" applyAlignment="1">
      <alignment vertical="top" wrapText="1"/>
    </xf>
    <xf numFmtId="0" fontId="14" fillId="13" borderId="45" xfId="0" applyFont="1" applyFill="1" applyBorder="1" applyAlignment="1">
      <alignment horizontal="left" vertical="top" wrapText="1" shrinkToFit="1"/>
    </xf>
    <xf numFmtId="2" fontId="25" fillId="13" borderId="48" xfId="0" applyNumberFormat="1" applyFont="1" applyFill="1" applyBorder="1" applyAlignment="1">
      <alignment horizontal="center" vertical="top" shrinkToFit="1"/>
    </xf>
    <xf numFmtId="1" fontId="25" fillId="13" borderId="48" xfId="0" applyNumberFormat="1" applyFont="1" applyFill="1" applyBorder="1" applyAlignment="1">
      <alignment horizontal="center" vertical="center" shrinkToFit="1"/>
    </xf>
    <xf numFmtId="0" fontId="16" fillId="13" borderId="32" xfId="0" applyNumberFormat="1" applyFont="1" applyFill="1" applyBorder="1" applyAlignment="1">
      <alignment horizontal="left" vertical="top" wrapText="1" shrinkToFit="1"/>
    </xf>
    <xf numFmtId="2" fontId="14" fillId="13" borderId="45" xfId="0" applyNumberFormat="1" applyFont="1" applyFill="1" applyBorder="1" applyAlignment="1">
      <alignment horizontal="left" vertical="top" wrapText="1" shrinkToFit="1"/>
    </xf>
    <xf numFmtId="0" fontId="6" fillId="13" borderId="25" xfId="0" applyFont="1" applyFill="1" applyBorder="1" applyAlignment="1">
      <alignment vertical="top" wrapText="1"/>
    </xf>
    <xf numFmtId="0" fontId="32" fillId="13" borderId="45" xfId="0" applyFont="1" applyFill="1" applyBorder="1" applyAlignment="1">
      <alignment horizontal="left" vertical="top" wrapText="1" shrinkToFit="1"/>
    </xf>
    <xf numFmtId="0" fontId="25" fillId="13" borderId="48" xfId="0" applyFont="1" applyFill="1" applyBorder="1" applyAlignment="1">
      <alignment horizontal="center" vertical="top" shrinkToFit="1"/>
    </xf>
    <xf numFmtId="2" fontId="68" fillId="13" borderId="48" xfId="0" applyNumberFormat="1" applyFont="1" applyFill="1" applyBorder="1" applyAlignment="1">
      <alignment horizontal="center" vertical="center" shrinkToFit="1"/>
    </xf>
    <xf numFmtId="2" fontId="68" fillId="13" borderId="48" xfId="0" applyNumberFormat="1" applyFont="1" applyFill="1" applyBorder="1" applyAlignment="1">
      <alignment horizontal="center" vertical="top" shrinkToFit="1"/>
    </xf>
    <xf numFmtId="187" fontId="9" fillId="10" borderId="0" xfId="0" applyNumberFormat="1" applyFont="1" applyFill="1" applyAlignment="1">
      <alignment horizontal="center" vertical="top"/>
    </xf>
    <xf numFmtId="0" fontId="9" fillId="10" borderId="6" xfId="0" applyFont="1" applyFill="1" applyBorder="1" applyAlignment="1">
      <alignment horizontal="center" vertical="center" shrinkToFit="1"/>
    </xf>
    <xf numFmtId="0" fontId="9" fillId="10" borderId="16" xfId="0" applyFont="1" applyFill="1" applyBorder="1" applyAlignment="1">
      <alignment horizontal="center" vertical="center" shrinkToFit="1"/>
    </xf>
    <xf numFmtId="0" fontId="9" fillId="10" borderId="7" xfId="0" applyFont="1" applyFill="1" applyBorder="1" applyAlignment="1">
      <alignment horizontal="center" vertical="top"/>
    </xf>
    <xf numFmtId="0" fontId="9" fillId="10" borderId="29" xfId="0" applyFont="1" applyFill="1" applyBorder="1" applyAlignment="1">
      <alignment horizontal="center" vertical="center" shrinkToFit="1"/>
    </xf>
    <xf numFmtId="0" fontId="9" fillId="10" borderId="20" xfId="0" applyFont="1" applyFill="1" applyBorder="1" applyAlignment="1">
      <alignment horizontal="center" vertical="center" shrinkToFit="1"/>
    </xf>
    <xf numFmtId="0" fontId="26" fillId="10" borderId="49" xfId="0" applyFont="1" applyFill="1" applyBorder="1" applyAlignment="1">
      <alignment horizontal="center" vertical="top" shrinkToFit="1"/>
    </xf>
    <xf numFmtId="0" fontId="0" fillId="0" borderId="63" xfId="0" applyBorder="1" applyAlignment="1">
      <alignment horizontal="center" vertical="top" shrinkToFit="1"/>
    </xf>
    <xf numFmtId="0" fontId="0" fillId="0" borderId="51" xfId="0" applyBorder="1" applyAlignment="1">
      <alignment horizontal="center" vertical="top" shrinkToFit="1"/>
    </xf>
    <xf numFmtId="0" fontId="16" fillId="20" borderId="34" xfId="0" applyFont="1" applyFill="1" applyBorder="1" applyAlignment="1">
      <alignment horizontal="center" vertical="center" wrapText="1"/>
    </xf>
    <xf numFmtId="0" fontId="17" fillId="10" borderId="29" xfId="0" applyFont="1" applyFill="1" applyBorder="1" applyAlignment="1">
      <alignment horizontal="center" vertical="center" wrapText="1"/>
    </xf>
    <xf numFmtId="0" fontId="17" fillId="10" borderId="19" xfId="0" applyFont="1" applyFill="1" applyBorder="1" applyAlignment="1">
      <alignment horizontal="center" vertical="center" wrapText="1"/>
    </xf>
    <xf numFmtId="0" fontId="17" fillId="10" borderId="20" xfId="0" applyFont="1" applyFill="1" applyBorder="1" applyAlignment="1">
      <alignment horizontal="center" vertical="center" wrapText="1"/>
    </xf>
    <xf numFmtId="0" fontId="57" fillId="10" borderId="52" xfId="0" applyFont="1" applyFill="1" applyBorder="1" applyAlignment="1">
      <alignment horizontal="center" vertical="center" wrapText="1"/>
    </xf>
    <xf numFmtId="0" fontId="57" fillId="10" borderId="53" xfId="0" applyFont="1" applyFill="1" applyBorder="1" applyAlignment="1">
      <alignment horizontal="center" vertical="center" wrapText="1"/>
    </xf>
    <xf numFmtId="0" fontId="60" fillId="10" borderId="56" xfId="0" applyFont="1" applyFill="1" applyBorder="1" applyAlignment="1">
      <alignment horizontal="center" vertical="center" wrapText="1"/>
    </xf>
    <xf numFmtId="0" fontId="60" fillId="10" borderId="57" xfId="0" applyFont="1" applyFill="1" applyBorder="1" applyAlignment="1">
      <alignment horizontal="center" vertical="center" wrapText="1"/>
    </xf>
    <xf numFmtId="0" fontId="42" fillId="9" borderId="3" xfId="0" applyFont="1" applyFill="1" applyBorder="1" applyAlignment="1">
      <alignment horizontal="left" vertical="center" shrinkToFit="1"/>
    </xf>
    <xf numFmtId="0" fontId="42" fillId="9" borderId="32" xfId="0" applyFont="1" applyFill="1" applyBorder="1" applyAlignment="1">
      <alignment horizontal="left" vertical="center" wrapText="1" shrinkToFit="1"/>
    </xf>
    <xf numFmtId="0" fontId="42" fillId="9" borderId="25" xfId="0" applyFont="1" applyFill="1" applyBorder="1" applyAlignment="1">
      <alignment horizontal="left" vertical="center" wrapText="1" shrinkToFit="1"/>
    </xf>
    <xf numFmtId="0" fontId="3" fillId="10" borderId="31" xfId="0" applyFont="1" applyFill="1" applyBorder="1" applyAlignment="1">
      <alignment vertical="center" wrapText="1" shrinkToFit="1"/>
    </xf>
    <xf numFmtId="0" fontId="23" fillId="10" borderId="18" xfId="0" applyFont="1" applyFill="1" applyBorder="1" applyAlignment="1">
      <alignment vertical="center" wrapText="1" shrinkToFit="1"/>
    </xf>
    <xf numFmtId="0" fontId="29" fillId="2" borderId="27" xfId="0" applyFont="1" applyFill="1" applyBorder="1" applyAlignment="1">
      <alignment horizontal="center" vertical="center" shrinkToFit="1"/>
    </xf>
    <xf numFmtId="0" fontId="29" fillId="2" borderId="31" xfId="0" applyFont="1" applyFill="1" applyBorder="1" applyAlignment="1">
      <alignment horizontal="center" vertical="center" shrinkToFit="1"/>
    </xf>
    <xf numFmtId="0" fontId="29" fillId="2" borderId="17" xfId="0" applyFont="1" applyFill="1" applyBorder="1" applyAlignment="1">
      <alignment horizontal="center" vertical="center" shrinkToFit="1"/>
    </xf>
    <xf numFmtId="0" fontId="29" fillId="2" borderId="18" xfId="0" applyFont="1" applyFill="1" applyBorder="1" applyAlignment="1">
      <alignment horizontal="center" vertical="center" shrinkToFit="1"/>
    </xf>
    <xf numFmtId="0" fontId="25" fillId="10" borderId="4" xfId="0" applyFont="1" applyFill="1" applyBorder="1" applyAlignment="1">
      <alignment horizontal="center" vertical="center" shrinkToFit="1"/>
    </xf>
    <xf numFmtId="0" fontId="25" fillId="10" borderId="8" xfId="0" applyFont="1" applyFill="1" applyBorder="1" applyAlignment="1">
      <alignment horizontal="center" vertical="center" shrinkToFit="1"/>
    </xf>
    <xf numFmtId="1" fontId="29" fillId="10" borderId="4" xfId="0" applyNumberFormat="1" applyFont="1" applyFill="1" applyBorder="1" applyAlignment="1">
      <alignment horizontal="center" vertical="center" shrinkToFit="1"/>
    </xf>
    <xf numFmtId="1" fontId="29" fillId="10" borderId="8" xfId="0" applyNumberFormat="1" applyFont="1" applyFill="1" applyBorder="1" applyAlignment="1">
      <alignment horizontal="center" vertical="center" shrinkToFit="1"/>
    </xf>
    <xf numFmtId="0" fontId="29" fillId="10" borderId="4" xfId="0" applyFont="1" applyFill="1" applyBorder="1" applyAlignment="1">
      <alignment horizontal="center" vertical="center" shrinkToFit="1"/>
    </xf>
    <xf numFmtId="0" fontId="29" fillId="10" borderId="8" xfId="0" applyFont="1" applyFill="1" applyBorder="1" applyAlignment="1">
      <alignment horizontal="center" vertical="center" shrinkToFit="1"/>
    </xf>
    <xf numFmtId="0" fontId="49" fillId="21" borderId="6" xfId="0" applyFont="1" applyFill="1" applyBorder="1" applyAlignment="1">
      <alignment horizontal="center" vertical="center" wrapText="1" shrinkToFit="1"/>
    </xf>
    <xf numFmtId="0" fontId="49" fillId="21" borderId="5" xfId="0" applyFont="1" applyFill="1" applyBorder="1" applyAlignment="1">
      <alignment horizontal="center" vertical="center" wrapText="1" shrinkToFit="1"/>
    </xf>
    <xf numFmtId="0" fontId="49" fillId="21" borderId="16" xfId="0" applyFont="1" applyFill="1" applyBorder="1" applyAlignment="1">
      <alignment horizontal="center" vertical="center" wrapText="1" shrinkToFit="1"/>
    </xf>
    <xf numFmtId="0" fontId="50" fillId="21" borderId="6" xfId="0" applyFont="1" applyFill="1" applyBorder="1" applyAlignment="1">
      <alignment horizontal="center" vertical="center" wrapText="1" shrinkToFit="1"/>
    </xf>
    <xf numFmtId="0" fontId="50" fillId="21" borderId="5" xfId="0" applyFont="1" applyFill="1" applyBorder="1" applyAlignment="1">
      <alignment horizontal="center" vertical="center" wrapText="1" shrinkToFit="1"/>
    </xf>
    <xf numFmtId="0" fontId="50" fillId="21" borderId="16" xfId="0" applyFont="1" applyFill="1" applyBorder="1" applyAlignment="1">
      <alignment horizontal="center" vertical="center" wrapText="1" shrinkToFit="1"/>
    </xf>
    <xf numFmtId="2" fontId="29" fillId="2" borderId="27" xfId="0" applyNumberFormat="1" applyFont="1" applyFill="1" applyBorder="1" applyAlignment="1">
      <alignment horizontal="center" vertical="center" shrinkToFit="1"/>
    </xf>
    <xf numFmtId="2" fontId="29" fillId="2" borderId="31" xfId="0" applyNumberFormat="1" applyFont="1" applyFill="1" applyBorder="1" applyAlignment="1">
      <alignment horizontal="center" vertical="center" shrinkToFit="1"/>
    </xf>
    <xf numFmtId="0" fontId="16" fillId="16" borderId="1" xfId="0" applyFont="1" applyFill="1" applyBorder="1" applyAlignment="1">
      <alignment horizontal="center" vertical="center" shrinkToFit="1"/>
    </xf>
    <xf numFmtId="0" fontId="47" fillId="18" borderId="1" xfId="0" applyFont="1" applyFill="1" applyBorder="1" applyAlignment="1">
      <alignment horizontal="center" vertical="center" shrinkToFit="1"/>
    </xf>
    <xf numFmtId="0" fontId="9" fillId="9" borderId="32" xfId="0" applyFont="1" applyFill="1" applyBorder="1" applyAlignment="1">
      <alignment horizontal="left" vertical="center" shrinkToFit="1"/>
    </xf>
    <xf numFmtId="0" fontId="9" fillId="9" borderId="25" xfId="0" applyFont="1" applyFill="1" applyBorder="1" applyAlignment="1">
      <alignment horizontal="left" vertical="center" shrinkToFit="1"/>
    </xf>
    <xf numFmtId="0" fontId="9" fillId="5" borderId="22" xfId="0" applyFont="1" applyFill="1" applyBorder="1" applyAlignment="1">
      <alignment horizontal="center" vertical="center" wrapText="1" shrinkToFit="1"/>
    </xf>
    <xf numFmtId="0" fontId="9" fillId="5" borderId="2" xfId="0" applyFont="1" applyFill="1" applyBorder="1" applyAlignment="1">
      <alignment horizontal="center" vertical="center" wrapText="1" shrinkToFit="1"/>
    </xf>
    <xf numFmtId="0" fontId="16" fillId="5" borderId="1" xfId="0" applyFont="1" applyFill="1" applyBorder="1" applyAlignment="1">
      <alignment horizontal="center" vertical="center" wrapText="1" shrinkToFit="1"/>
    </xf>
    <xf numFmtId="0" fontId="16" fillId="5" borderId="1" xfId="0" applyFont="1" applyFill="1" applyBorder="1" applyAlignment="1">
      <alignment horizontal="center" vertical="center" shrinkToFit="1"/>
    </xf>
    <xf numFmtId="0" fontId="9" fillId="10" borderId="0" xfId="0" applyFont="1" applyFill="1" applyBorder="1" applyAlignment="1">
      <alignment horizontal="center" vertical="top"/>
    </xf>
    <xf numFmtId="0" fontId="48" fillId="21" borderId="38" xfId="0" applyFont="1" applyFill="1" applyBorder="1" applyAlignment="1">
      <alignment horizontal="center" vertical="center" wrapText="1" shrinkToFit="1"/>
    </xf>
    <xf numFmtId="0" fontId="48" fillId="21" borderId="25" xfId="0" applyFont="1" applyFill="1" applyBorder="1" applyAlignment="1">
      <alignment horizontal="center" vertical="center" wrapText="1" shrinkToFit="1"/>
    </xf>
    <xf numFmtId="0" fontId="48" fillId="21" borderId="44" xfId="0" applyFont="1" applyFill="1" applyBorder="1" applyAlignment="1">
      <alignment horizontal="center" vertical="center" wrapText="1" shrinkToFit="1"/>
    </xf>
    <xf numFmtId="0" fontId="49" fillId="21" borderId="6" xfId="0" applyFont="1" applyFill="1" applyBorder="1" applyAlignment="1">
      <alignment horizontal="center" vertical="center" shrinkToFit="1"/>
    </xf>
    <xf numFmtId="0" fontId="49" fillId="21" borderId="16" xfId="0" applyFont="1" applyFill="1" applyBorder="1" applyAlignment="1">
      <alignment horizontal="center" vertical="center" shrinkToFit="1"/>
    </xf>
    <xf numFmtId="0" fontId="48" fillId="21" borderId="9" xfId="0" applyFont="1" applyFill="1" applyBorder="1" applyAlignment="1">
      <alignment horizontal="center" vertical="center" shrinkToFit="1"/>
    </xf>
    <xf numFmtId="0" fontId="48" fillId="21" borderId="3" xfId="0" applyFont="1" applyFill="1" applyBorder="1" applyAlignment="1">
      <alignment horizontal="center" vertical="center" shrinkToFit="1"/>
    </xf>
    <xf numFmtId="0" fontId="48" fillId="21" borderId="28" xfId="0" applyFont="1" applyFill="1" applyBorder="1" applyAlignment="1">
      <alignment horizontal="center" vertical="center" shrinkToFit="1"/>
    </xf>
    <xf numFmtId="0" fontId="48" fillId="21" borderId="34" xfId="0" applyFont="1" applyFill="1" applyBorder="1" applyAlignment="1">
      <alignment horizontal="center" vertical="center" shrinkToFit="1"/>
    </xf>
    <xf numFmtId="0" fontId="48" fillId="21" borderId="37" xfId="0" applyFont="1" applyFill="1" applyBorder="1" applyAlignment="1">
      <alignment horizontal="center" vertical="center" shrinkToFit="1"/>
    </xf>
    <xf numFmtId="0" fontId="48" fillId="21" borderId="29" xfId="0" applyFont="1" applyFill="1" applyBorder="1" applyAlignment="1">
      <alignment horizontal="center" vertical="center" shrinkToFit="1"/>
    </xf>
    <xf numFmtId="0" fontId="48" fillId="21" borderId="39" xfId="0" applyFont="1" applyFill="1" applyBorder="1" applyAlignment="1">
      <alignment horizontal="center" vertical="center" shrinkToFit="1"/>
    </xf>
    <xf numFmtId="0" fontId="48" fillId="21" borderId="32" xfId="0" applyFont="1" applyFill="1" applyBorder="1" applyAlignment="1">
      <alignment horizontal="center" vertical="center" shrinkToFit="1"/>
    </xf>
    <xf numFmtId="0" fontId="48" fillId="21" borderId="43" xfId="0" applyFont="1" applyFill="1" applyBorder="1" applyAlignment="1">
      <alignment horizontal="center" vertical="center" shrinkToFit="1"/>
    </xf>
    <xf numFmtId="0" fontId="9" fillId="9" borderId="3" xfId="0" applyFont="1" applyFill="1" applyBorder="1" applyAlignment="1">
      <alignment horizontal="left" vertical="center" shrinkToFit="1"/>
    </xf>
    <xf numFmtId="0" fontId="51" fillId="21" borderId="19" xfId="0" applyFont="1" applyFill="1" applyBorder="1" applyAlignment="1">
      <alignment horizontal="center" vertical="center" shrinkToFit="1"/>
    </xf>
    <xf numFmtId="0" fontId="51" fillId="21" borderId="7" xfId="0" applyFont="1" applyFill="1" applyBorder="1" applyAlignment="1">
      <alignment horizontal="center" vertical="center" shrinkToFit="1"/>
    </xf>
    <xf numFmtId="0" fontId="51" fillId="21" borderId="20" xfId="0" applyFont="1" applyFill="1" applyBorder="1" applyAlignment="1">
      <alignment horizontal="center" vertical="center" shrinkToFit="1"/>
    </xf>
    <xf numFmtId="0" fontId="16" fillId="17" borderId="1" xfId="0" applyFont="1" applyFill="1" applyBorder="1" applyAlignment="1">
      <alignment horizontal="center" vertical="center" shrinkToFit="1"/>
    </xf>
    <xf numFmtId="0" fontId="29" fillId="10" borderId="32" xfId="0" applyFont="1" applyFill="1" applyBorder="1" applyAlignment="1">
      <alignment horizontal="center" vertical="center" wrapText="1" shrinkToFit="1"/>
    </xf>
    <xf numFmtId="0" fontId="29" fillId="10" borderId="25" xfId="0" applyFont="1" applyFill="1" applyBorder="1" applyAlignment="1">
      <alignment horizontal="center" vertical="center" wrapText="1" shrinkToFit="1"/>
    </xf>
    <xf numFmtId="2" fontId="29" fillId="2" borderId="32" xfId="0" applyNumberFormat="1" applyFont="1" applyFill="1" applyBorder="1" applyAlignment="1">
      <alignment horizontal="center" vertical="center" shrinkToFit="1"/>
    </xf>
    <xf numFmtId="0" fontId="29" fillId="2" borderId="25" xfId="0" applyFont="1" applyFill="1" applyBorder="1" applyAlignment="1">
      <alignment horizontal="center" vertical="center" shrinkToFit="1"/>
    </xf>
    <xf numFmtId="49" fontId="29" fillId="2" borderId="17" xfId="0" applyNumberFormat="1" applyFont="1" applyFill="1" applyBorder="1" applyAlignment="1">
      <alignment horizontal="center" vertical="center" shrinkToFit="1"/>
    </xf>
    <xf numFmtId="49" fontId="29" fillId="2" borderId="18" xfId="0" applyNumberFormat="1" applyFont="1" applyFill="1" applyBorder="1" applyAlignment="1">
      <alignment horizontal="center" vertical="center" shrinkToFit="1"/>
    </xf>
    <xf numFmtId="0" fontId="16" fillId="19" borderId="1" xfId="0" applyFont="1" applyFill="1" applyBorder="1" applyAlignment="1">
      <alignment horizontal="center" vertical="center" shrinkToFit="1"/>
    </xf>
    <xf numFmtId="0" fontId="16" fillId="14" borderId="1" xfId="0" applyFont="1" applyFill="1" applyBorder="1" applyAlignment="1">
      <alignment horizontal="center" vertical="center" shrinkToFit="1"/>
    </xf>
    <xf numFmtId="0" fontId="9" fillId="9" borderId="6" xfId="0" applyFont="1" applyFill="1" applyBorder="1" applyAlignment="1">
      <alignment horizontal="center" vertical="center" shrinkToFit="1"/>
    </xf>
    <xf numFmtId="0" fontId="9" fillId="9" borderId="16" xfId="0" applyFont="1" applyFill="1" applyBorder="1" applyAlignment="1">
      <alignment horizontal="center" vertical="center" shrinkToFit="1"/>
    </xf>
    <xf numFmtId="187" fontId="13" fillId="10" borderId="0" xfId="0" applyNumberFormat="1" applyFont="1" applyFill="1" applyAlignment="1">
      <alignment horizontal="left" vertical="top"/>
    </xf>
    <xf numFmtId="0" fontId="15" fillId="10" borderId="0" xfId="0" applyFont="1" applyFill="1" applyBorder="1" applyAlignment="1">
      <alignment horizontal="center" vertical="top"/>
    </xf>
    <xf numFmtId="0" fontId="9" fillId="9" borderId="1" xfId="0" applyFont="1" applyFill="1" applyBorder="1" applyAlignment="1">
      <alignment horizontal="center" vertical="center" shrinkToFit="1"/>
    </xf>
    <xf numFmtId="0" fontId="9" fillId="9" borderId="1" xfId="0" applyFont="1" applyFill="1" applyBorder="1" applyAlignment="1">
      <alignment horizontal="center" vertical="center" wrapText="1" shrinkToFit="1"/>
    </xf>
    <xf numFmtId="0" fontId="9" fillId="11" borderId="6" xfId="0" applyFont="1" applyFill="1" applyBorder="1" applyAlignment="1">
      <alignment horizontal="center" vertical="center" shrinkToFit="1"/>
    </xf>
    <xf numFmtId="0" fontId="9" fillId="11" borderId="16" xfId="0" applyFont="1" applyFill="1" applyBorder="1" applyAlignment="1">
      <alignment horizontal="center" vertical="center" shrinkToFit="1"/>
    </xf>
    <xf numFmtId="0" fontId="9" fillId="11" borderId="1" xfId="0" applyFont="1" applyFill="1" applyBorder="1" applyAlignment="1">
      <alignment horizontal="center" vertical="center" wrapText="1" shrinkToFit="1"/>
    </xf>
    <xf numFmtId="0" fontId="6" fillId="10" borderId="0" xfId="0" applyFont="1" applyFill="1" applyBorder="1" applyAlignment="1">
      <alignment horizontal="center" vertical="top" shrinkToFit="1"/>
    </xf>
    <xf numFmtId="0" fontId="9" fillId="11" borderId="1" xfId="0" applyFont="1" applyFill="1" applyBorder="1" applyAlignment="1">
      <alignment horizontal="center" vertical="center" shrinkToFit="1"/>
    </xf>
    <xf numFmtId="0" fontId="12" fillId="10" borderId="22" xfId="0" applyFont="1" applyFill="1" applyBorder="1" applyAlignment="1">
      <alignment horizontal="left" vertical="center" wrapText="1"/>
    </xf>
    <xf numFmtId="0" fontId="12" fillId="10" borderId="2" xfId="0" applyFont="1" applyFill="1" applyBorder="1" applyAlignment="1">
      <alignment horizontal="left" vertical="center" wrapText="1"/>
    </xf>
    <xf numFmtId="0" fontId="12" fillId="10" borderId="34" xfId="0" applyFont="1" applyFill="1" applyBorder="1" applyAlignment="1">
      <alignment horizontal="left" vertical="center" wrapText="1"/>
    </xf>
    <xf numFmtId="0" fontId="12" fillId="10" borderId="29" xfId="0" applyFont="1" applyFill="1" applyBorder="1" applyAlignment="1">
      <alignment horizontal="left" vertical="center" wrapText="1"/>
    </xf>
    <xf numFmtId="0" fontId="12" fillId="10" borderId="40" xfId="0" applyFont="1" applyFill="1" applyBorder="1" applyAlignment="1">
      <alignment horizontal="left" vertical="center" wrapText="1"/>
    </xf>
    <xf numFmtId="0" fontId="12" fillId="10" borderId="41" xfId="0" applyFont="1" applyFill="1" applyBorder="1" applyAlignment="1">
      <alignment horizontal="left" vertical="center" wrapText="1"/>
    </xf>
    <xf numFmtId="0" fontId="16" fillId="10" borderId="10" xfId="0" applyFont="1" applyFill="1" applyBorder="1" applyAlignment="1">
      <alignment horizontal="center" vertical="center" shrinkToFit="1"/>
    </xf>
    <xf numFmtId="0" fontId="16" fillId="10" borderId="21" xfId="0" applyFont="1" applyFill="1" applyBorder="1" applyAlignment="1">
      <alignment horizontal="center" vertical="center" shrinkToFit="1"/>
    </xf>
    <xf numFmtId="0" fontId="16" fillId="10" borderId="13" xfId="0" applyFont="1" applyFill="1" applyBorder="1" applyAlignment="1">
      <alignment horizontal="center" vertical="center" shrinkToFit="1"/>
    </xf>
    <xf numFmtId="0" fontId="16" fillId="10" borderId="42" xfId="0" applyFont="1" applyFill="1" applyBorder="1" applyAlignment="1">
      <alignment horizontal="center" vertical="center" shrinkToFit="1"/>
    </xf>
    <xf numFmtId="0" fontId="9" fillId="13" borderId="6" xfId="0" applyFont="1" applyFill="1" applyBorder="1" applyAlignment="1">
      <alignment horizontal="center" vertical="center" shrinkToFit="1"/>
    </xf>
    <xf numFmtId="0" fontId="9" fillId="13" borderId="16" xfId="0" applyFont="1" applyFill="1" applyBorder="1" applyAlignment="1">
      <alignment horizontal="center" vertical="center" shrinkToFit="1"/>
    </xf>
    <xf numFmtId="0" fontId="9" fillId="13" borderId="5" xfId="0" applyFont="1" applyFill="1" applyBorder="1" applyAlignment="1">
      <alignment horizontal="center" vertical="center" shrinkToFit="1"/>
    </xf>
    <xf numFmtId="0" fontId="9" fillId="13" borderId="1" xfId="0" applyFont="1" applyFill="1" applyBorder="1" applyAlignment="1">
      <alignment horizontal="center" vertical="center" wrapText="1" shrinkToFit="1"/>
    </xf>
    <xf numFmtId="0" fontId="9" fillId="12" borderId="34" xfId="0" applyFont="1" applyFill="1" applyBorder="1" applyAlignment="1">
      <alignment horizontal="center" vertical="center" shrinkToFit="1"/>
    </xf>
    <xf numFmtId="0" fontId="9" fillId="12" borderId="29" xfId="0" applyFont="1" applyFill="1" applyBorder="1" applyAlignment="1">
      <alignment horizontal="center" vertical="center" shrinkToFit="1"/>
    </xf>
    <xf numFmtId="0" fontId="9" fillId="12" borderId="33" xfId="0" applyFont="1" applyFill="1" applyBorder="1" applyAlignment="1">
      <alignment horizontal="center" vertical="center" shrinkToFit="1"/>
    </xf>
    <xf numFmtId="0" fontId="9" fillId="12" borderId="26" xfId="0" applyFont="1" applyFill="1" applyBorder="1" applyAlignment="1">
      <alignment horizontal="center" vertical="center" shrinkToFit="1"/>
    </xf>
    <xf numFmtId="0" fontId="9" fillId="12" borderId="6" xfId="0" applyFont="1" applyFill="1" applyBorder="1" applyAlignment="1">
      <alignment horizontal="center" vertical="center" shrinkToFit="1"/>
    </xf>
    <xf numFmtId="0" fontId="9" fillId="12" borderId="16" xfId="0" applyFont="1" applyFill="1" applyBorder="1" applyAlignment="1">
      <alignment horizontal="center" vertical="center" shrinkToFit="1"/>
    </xf>
    <xf numFmtId="0" fontId="9" fillId="12" borderId="34" xfId="0" applyFont="1" applyFill="1" applyBorder="1" applyAlignment="1">
      <alignment horizontal="center" vertical="center" wrapText="1" shrinkToFit="1"/>
    </xf>
    <xf numFmtId="0" fontId="9" fillId="12" borderId="37" xfId="0" applyFont="1" applyFill="1" applyBorder="1" applyAlignment="1">
      <alignment horizontal="center" vertical="center" wrapText="1" shrinkToFit="1"/>
    </xf>
    <xf numFmtId="0" fontId="9" fillId="12" borderId="29" xfId="0" applyFont="1" applyFill="1" applyBorder="1" applyAlignment="1">
      <alignment horizontal="center" vertical="center" wrapText="1" shrinkToFit="1"/>
    </xf>
    <xf numFmtId="0" fontId="9" fillId="10" borderId="10" xfId="0" applyFont="1" applyFill="1" applyBorder="1" applyAlignment="1">
      <alignment horizontal="center" vertical="center" shrinkToFit="1"/>
    </xf>
    <xf numFmtId="0" fontId="9" fillId="10" borderId="21" xfId="0" applyFont="1" applyFill="1" applyBorder="1" applyAlignment="1">
      <alignment horizontal="center" vertical="center" shrinkToFit="1"/>
    </xf>
    <xf numFmtId="0" fontId="9" fillId="12" borderId="1" xfId="0" applyFont="1" applyFill="1" applyBorder="1" applyAlignment="1">
      <alignment horizontal="center" vertical="center" wrapText="1" shrinkToFit="1"/>
    </xf>
    <xf numFmtId="0" fontId="3" fillId="10" borderId="34" xfId="0" applyFont="1" applyFill="1" applyBorder="1" applyAlignment="1">
      <alignment horizontal="left" vertical="center" wrapText="1"/>
    </xf>
    <xf numFmtId="0" fontId="3" fillId="10" borderId="29" xfId="0" applyFont="1" applyFill="1" applyBorder="1" applyAlignment="1">
      <alignment horizontal="left" vertical="center" wrapText="1"/>
    </xf>
    <xf numFmtId="0" fontId="9" fillId="10" borderId="13" xfId="0" applyFont="1" applyFill="1" applyBorder="1" applyAlignment="1">
      <alignment horizontal="center" vertical="center" shrinkToFit="1"/>
    </xf>
    <xf numFmtId="0" fontId="9" fillId="10" borderId="42" xfId="0" applyFont="1" applyFill="1" applyBorder="1" applyAlignment="1">
      <alignment horizontal="center" vertical="center" shrinkToFit="1"/>
    </xf>
    <xf numFmtId="0" fontId="14" fillId="2" borderId="39" xfId="0" applyFont="1" applyFill="1" applyBorder="1" applyAlignment="1">
      <alignment horizontal="center"/>
    </xf>
    <xf numFmtId="0" fontId="14" fillId="2" borderId="35" xfId="0" applyFont="1" applyFill="1" applyBorder="1" applyAlignment="1">
      <alignment horizontal="center"/>
    </xf>
    <xf numFmtId="0" fontId="14" fillId="2" borderId="38" xfId="0" applyFont="1" applyFill="1" applyBorder="1" applyAlignment="1">
      <alignment horizontal="center"/>
    </xf>
    <xf numFmtId="0" fontId="14" fillId="2" borderId="43" xfId="0" applyFont="1" applyFill="1" applyBorder="1" applyAlignment="1">
      <alignment horizontal="center"/>
    </xf>
    <xf numFmtId="0" fontId="14" fillId="2" borderId="36" xfId="0" applyFont="1" applyFill="1" applyBorder="1" applyAlignment="1">
      <alignment horizontal="center"/>
    </xf>
    <xf numFmtId="0" fontId="14" fillId="2" borderId="44" xfId="0" applyFont="1" applyFill="1" applyBorder="1" applyAlignment="1">
      <alignment horizontal="center"/>
    </xf>
    <xf numFmtId="0" fontId="14" fillId="10" borderId="19" xfId="0" applyFont="1" applyFill="1" applyBorder="1" applyAlignment="1">
      <alignment horizontal="center" vertical="center" wrapText="1"/>
    </xf>
    <xf numFmtId="0" fontId="14" fillId="10" borderId="20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/>
    </xf>
    <xf numFmtId="0" fontId="14" fillId="2" borderId="37" xfId="0" applyFont="1" applyFill="1" applyBorder="1" applyAlignment="1">
      <alignment horizontal="center"/>
    </xf>
    <xf numFmtId="0" fontId="14" fillId="2" borderId="29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 vertical="center" wrapText="1" shrinkToFit="1"/>
    </xf>
    <xf numFmtId="0" fontId="14" fillId="2" borderId="16" xfId="0" applyFont="1" applyFill="1" applyBorder="1" applyAlignment="1">
      <alignment horizontal="center" vertical="center" wrapText="1" shrinkToFit="1"/>
    </xf>
  </cellXfs>
  <cellStyles count="2">
    <cellStyle name="เครื่องหมายจุลภาค" xfId="1" builtinId="3"/>
    <cellStyle name="ปกติ" xfId="0" builtinId="0"/>
  </cellStyles>
  <dxfs count="38"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00FFFF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49"/>
  <sheetViews>
    <sheetView workbookViewId="0">
      <pane xSplit="1" ySplit="4" topLeftCell="B14" activePane="bottomRight" state="frozen"/>
      <selection pane="topRight" activeCell="B1" sqref="B1"/>
      <selection pane="bottomLeft" activeCell="A6" sqref="A6"/>
      <selection pane="bottomRight" activeCell="E22" sqref="E22"/>
    </sheetView>
  </sheetViews>
  <sheetFormatPr defaultRowHeight="23.25"/>
  <cols>
    <col min="1" max="1" width="57" style="122" customWidth="1"/>
    <col min="2" max="2" width="10.125" style="173" customWidth="1"/>
    <col min="3" max="5" width="14.125" style="173" customWidth="1"/>
    <col min="6" max="16384" width="9" style="122"/>
  </cols>
  <sheetData>
    <row r="1" spans="1:6" ht="30.75" customHeight="1">
      <c r="A1" s="516" t="s">
        <v>163</v>
      </c>
      <c r="B1" s="516"/>
      <c r="C1" s="516"/>
      <c r="D1" s="516"/>
      <c r="E1" s="516"/>
    </row>
    <row r="2" spans="1:6" ht="37.5" customHeight="1">
      <c r="A2" s="519" t="s">
        <v>205</v>
      </c>
      <c r="B2" s="519"/>
      <c r="C2" s="519"/>
      <c r="D2" s="519"/>
      <c r="E2" s="519"/>
    </row>
    <row r="3" spans="1:6" ht="27.75" customHeight="1">
      <c r="A3" s="517" t="s">
        <v>71</v>
      </c>
      <c r="B3" s="520" t="s">
        <v>206</v>
      </c>
      <c r="C3" s="517" t="s">
        <v>207</v>
      </c>
      <c r="D3" s="517" t="s">
        <v>208</v>
      </c>
      <c r="E3" s="517" t="s">
        <v>209</v>
      </c>
    </row>
    <row r="4" spans="1:6" ht="27.75" customHeight="1">
      <c r="A4" s="518"/>
      <c r="B4" s="521"/>
      <c r="C4" s="518"/>
      <c r="D4" s="518"/>
      <c r="E4" s="518"/>
    </row>
    <row r="5" spans="1:6" s="85" customFormat="1" ht="27.75">
      <c r="A5" s="183" t="s">
        <v>63</v>
      </c>
      <c r="B5" s="184">
        <f>+B6</f>
        <v>1</v>
      </c>
      <c r="C5" s="184">
        <f>+B5+B7</f>
        <v>4</v>
      </c>
      <c r="D5" s="184">
        <f>+B5+B11</f>
        <v>6</v>
      </c>
      <c r="E5" s="184">
        <f>+B5+B17</f>
        <v>5</v>
      </c>
    </row>
    <row r="6" spans="1:6">
      <c r="A6" s="174" t="s">
        <v>72</v>
      </c>
      <c r="B6" s="172">
        <v>1</v>
      </c>
      <c r="C6" s="172"/>
      <c r="D6" s="172"/>
      <c r="E6" s="172"/>
    </row>
    <row r="7" spans="1:6">
      <c r="A7" s="391" t="s">
        <v>212</v>
      </c>
      <c r="B7" s="437">
        <f>+B8+B9+B10</f>
        <v>3</v>
      </c>
      <c r="C7" s="175"/>
      <c r="D7" s="175"/>
      <c r="E7" s="175"/>
    </row>
    <row r="8" spans="1:6" ht="46.5">
      <c r="A8" s="174" t="s">
        <v>211</v>
      </c>
      <c r="B8" s="172">
        <v>1</v>
      </c>
      <c r="C8" s="172"/>
      <c r="D8" s="172"/>
      <c r="E8" s="172"/>
      <c r="F8" s="230"/>
    </row>
    <row r="9" spans="1:6" ht="46.5">
      <c r="A9" s="174" t="s">
        <v>188</v>
      </c>
      <c r="B9" s="172">
        <v>1</v>
      </c>
      <c r="C9" s="172"/>
      <c r="D9" s="172"/>
      <c r="E9" s="172"/>
      <c r="F9" s="230"/>
    </row>
    <row r="10" spans="1:6" ht="46.5">
      <c r="A10" s="174" t="s">
        <v>190</v>
      </c>
      <c r="B10" s="172">
        <v>1</v>
      </c>
      <c r="C10" s="172"/>
      <c r="D10" s="172"/>
      <c r="E10" s="172"/>
      <c r="F10" s="230"/>
    </row>
    <row r="11" spans="1:6">
      <c r="A11" s="391" t="s">
        <v>213</v>
      </c>
      <c r="B11" s="437">
        <f>+B12+B13+B14+B15+B16</f>
        <v>5</v>
      </c>
      <c r="C11" s="172"/>
      <c r="D11" s="172"/>
      <c r="E11" s="172"/>
      <c r="F11" s="230"/>
    </row>
    <row r="12" spans="1:6" s="387" customFormat="1" ht="48">
      <c r="A12" s="388" t="s">
        <v>214</v>
      </c>
      <c r="B12" s="172">
        <v>1</v>
      </c>
      <c r="C12" s="172"/>
      <c r="D12" s="172"/>
      <c r="E12" s="172"/>
      <c r="F12" s="386"/>
    </row>
    <row r="13" spans="1:6" s="387" customFormat="1" ht="24">
      <c r="A13" s="388" t="s">
        <v>215</v>
      </c>
      <c r="B13" s="172">
        <v>1</v>
      </c>
      <c r="C13" s="172"/>
      <c r="D13" s="172"/>
      <c r="E13" s="172"/>
      <c r="F13" s="386"/>
    </row>
    <row r="14" spans="1:6" s="387" customFormat="1" ht="48">
      <c r="A14" s="388" t="s">
        <v>216</v>
      </c>
      <c r="B14" s="172">
        <v>1</v>
      </c>
      <c r="C14" s="172"/>
      <c r="D14" s="172"/>
      <c r="E14" s="172"/>
      <c r="F14" s="386"/>
    </row>
    <row r="15" spans="1:6" s="387" customFormat="1" ht="24">
      <c r="A15" s="388" t="s">
        <v>217</v>
      </c>
      <c r="B15" s="172">
        <v>1</v>
      </c>
      <c r="C15" s="172"/>
      <c r="D15" s="172"/>
      <c r="E15" s="172"/>
      <c r="F15" s="386"/>
    </row>
    <row r="16" spans="1:6" s="387" customFormat="1" ht="48">
      <c r="A16" s="388" t="s">
        <v>218</v>
      </c>
      <c r="B16" s="172">
        <v>1</v>
      </c>
      <c r="C16" s="172"/>
      <c r="D16" s="172"/>
      <c r="E16" s="172"/>
      <c r="F16" s="386"/>
    </row>
    <row r="17" spans="1:6">
      <c r="A17" s="391" t="s">
        <v>219</v>
      </c>
      <c r="B17" s="437">
        <f>+B18+B19+B20+B21</f>
        <v>4</v>
      </c>
      <c r="C17" s="172"/>
      <c r="D17" s="172"/>
      <c r="E17" s="172"/>
      <c r="F17" s="230"/>
    </row>
    <row r="18" spans="1:6">
      <c r="A18" s="174" t="s">
        <v>220</v>
      </c>
      <c r="B18" s="172">
        <v>1</v>
      </c>
      <c r="C18" s="172"/>
      <c r="D18" s="172"/>
      <c r="E18" s="172"/>
      <c r="F18" s="230"/>
    </row>
    <row r="19" spans="1:6" ht="46.5">
      <c r="A19" s="174" t="s">
        <v>221</v>
      </c>
      <c r="B19" s="172">
        <v>1</v>
      </c>
      <c r="C19" s="172"/>
      <c r="D19" s="172"/>
      <c r="E19" s="172"/>
      <c r="F19" s="230"/>
    </row>
    <row r="20" spans="1:6">
      <c r="A20" s="174" t="s">
        <v>222</v>
      </c>
      <c r="B20" s="172">
        <v>1</v>
      </c>
      <c r="C20" s="172"/>
      <c r="D20" s="172"/>
      <c r="E20" s="172"/>
      <c r="F20" s="230"/>
    </row>
    <row r="21" spans="1:6">
      <c r="A21" s="174" t="s">
        <v>223</v>
      </c>
      <c r="B21" s="172">
        <v>1</v>
      </c>
      <c r="C21" s="172"/>
      <c r="D21" s="172"/>
      <c r="E21" s="172"/>
      <c r="F21" s="230"/>
    </row>
    <row r="22" spans="1:6" s="85" customFormat="1" ht="27.75">
      <c r="A22" s="186" t="s">
        <v>64</v>
      </c>
      <c r="B22" s="185">
        <f>+SUM(B23:B27)</f>
        <v>5</v>
      </c>
      <c r="C22" s="185">
        <f>+B22+B28</f>
        <v>8</v>
      </c>
      <c r="D22" s="185">
        <f>+B22+B32</f>
        <v>6</v>
      </c>
      <c r="E22" s="185">
        <f>+B22+B34</f>
        <v>14</v>
      </c>
    </row>
    <row r="23" spans="1:6" ht="46.5">
      <c r="A23" s="174" t="s">
        <v>73</v>
      </c>
      <c r="B23" s="172">
        <v>1</v>
      </c>
      <c r="C23" s="172"/>
      <c r="D23" s="172"/>
      <c r="E23" s="172"/>
    </row>
    <row r="24" spans="1:6">
      <c r="A24" s="174" t="s">
        <v>65</v>
      </c>
      <c r="B24" s="172">
        <v>1</v>
      </c>
      <c r="C24" s="172"/>
      <c r="D24" s="172"/>
      <c r="E24" s="172"/>
    </row>
    <row r="25" spans="1:6">
      <c r="A25" s="174" t="s">
        <v>66</v>
      </c>
      <c r="B25" s="172">
        <v>1</v>
      </c>
      <c r="C25" s="172"/>
      <c r="D25" s="172"/>
      <c r="E25" s="172"/>
    </row>
    <row r="26" spans="1:6">
      <c r="A26" s="174" t="s">
        <v>67</v>
      </c>
      <c r="B26" s="172">
        <v>1</v>
      </c>
      <c r="C26" s="172"/>
      <c r="D26" s="172"/>
      <c r="E26" s="172"/>
    </row>
    <row r="27" spans="1:6" s="225" customFormat="1">
      <c r="A27" s="177" t="s">
        <v>180</v>
      </c>
      <c r="B27" s="178">
        <v>1</v>
      </c>
      <c r="C27" s="179"/>
      <c r="D27" s="179"/>
      <c r="E27" s="179"/>
    </row>
    <row r="28" spans="1:6" s="225" customFormat="1">
      <c r="A28" s="390" t="s">
        <v>224</v>
      </c>
      <c r="B28" s="436">
        <f>+B29+B30+B31</f>
        <v>3</v>
      </c>
      <c r="C28" s="176"/>
      <c r="D28" s="176"/>
      <c r="E28" s="176"/>
    </row>
    <row r="29" spans="1:6" s="225" customFormat="1">
      <c r="A29" s="177" t="s">
        <v>181</v>
      </c>
      <c r="B29" s="178">
        <v>1</v>
      </c>
      <c r="C29" s="179"/>
      <c r="D29" s="179"/>
      <c r="E29" s="179"/>
    </row>
    <row r="30" spans="1:6" s="225" customFormat="1" ht="46.5">
      <c r="A30" s="180" t="s">
        <v>194</v>
      </c>
      <c r="B30" s="178">
        <v>1</v>
      </c>
      <c r="C30" s="179"/>
      <c r="D30" s="179"/>
      <c r="E30" s="179"/>
    </row>
    <row r="31" spans="1:6" s="225" customFormat="1">
      <c r="A31" s="177" t="s">
        <v>195</v>
      </c>
      <c r="B31" s="178">
        <v>1</v>
      </c>
      <c r="C31" s="179"/>
      <c r="D31" s="179"/>
      <c r="E31" s="179"/>
    </row>
    <row r="32" spans="1:6" s="225" customFormat="1">
      <c r="A32" s="390" t="s">
        <v>225</v>
      </c>
      <c r="B32" s="436">
        <f>+B33</f>
        <v>1</v>
      </c>
      <c r="C32" s="176"/>
      <c r="D32" s="176"/>
      <c r="E32" s="176"/>
    </row>
    <row r="33" spans="1:5" s="225" customFormat="1">
      <c r="A33" s="177" t="s">
        <v>181</v>
      </c>
      <c r="B33" s="176">
        <v>1</v>
      </c>
      <c r="C33" s="176"/>
      <c r="D33" s="176"/>
      <c r="E33" s="176"/>
    </row>
    <row r="34" spans="1:5" s="225" customFormat="1">
      <c r="A34" s="390" t="s">
        <v>226</v>
      </c>
      <c r="B34" s="436">
        <f>+B35+B36+B37+B38+B39+B40+B41+B42+B43</f>
        <v>9</v>
      </c>
      <c r="C34" s="176"/>
      <c r="D34" s="176"/>
      <c r="E34" s="176"/>
    </row>
    <row r="35" spans="1:5" s="225" customFormat="1">
      <c r="A35" s="177" t="s">
        <v>181</v>
      </c>
      <c r="B35" s="435">
        <v>1</v>
      </c>
      <c r="C35" s="176"/>
      <c r="D35" s="176"/>
      <c r="E35" s="176"/>
    </row>
    <row r="36" spans="1:5" s="225" customFormat="1">
      <c r="A36" s="389" t="s">
        <v>227</v>
      </c>
      <c r="B36" s="435">
        <v>1</v>
      </c>
      <c r="C36" s="176"/>
      <c r="D36" s="176"/>
      <c r="E36" s="176"/>
    </row>
    <row r="37" spans="1:5" s="225" customFormat="1">
      <c r="A37" s="389" t="s">
        <v>228</v>
      </c>
      <c r="B37" s="435">
        <v>1</v>
      </c>
      <c r="C37" s="176"/>
      <c r="D37" s="176"/>
      <c r="E37" s="176"/>
    </row>
    <row r="38" spans="1:5" s="225" customFormat="1" ht="46.5">
      <c r="A38" s="389" t="s">
        <v>229</v>
      </c>
      <c r="B38" s="435">
        <v>1</v>
      </c>
      <c r="C38" s="176"/>
      <c r="D38" s="176"/>
      <c r="E38" s="176"/>
    </row>
    <row r="39" spans="1:5" s="225" customFormat="1">
      <c r="A39" s="389" t="s">
        <v>230</v>
      </c>
      <c r="B39" s="435">
        <v>1</v>
      </c>
      <c r="C39" s="176"/>
      <c r="D39" s="176"/>
      <c r="E39" s="176"/>
    </row>
    <row r="40" spans="1:5" s="225" customFormat="1">
      <c r="A40" s="389" t="s">
        <v>231</v>
      </c>
      <c r="B40" s="435">
        <v>1</v>
      </c>
      <c r="C40" s="176"/>
      <c r="D40" s="176"/>
      <c r="E40" s="176"/>
    </row>
    <row r="41" spans="1:5" s="225" customFormat="1" ht="46.5">
      <c r="A41" s="389" t="s">
        <v>232</v>
      </c>
      <c r="B41" s="435">
        <v>1</v>
      </c>
      <c r="C41" s="176"/>
      <c r="D41" s="176"/>
      <c r="E41" s="176"/>
    </row>
    <row r="42" spans="1:5" s="225" customFormat="1" ht="46.5">
      <c r="A42" s="389" t="s">
        <v>233</v>
      </c>
      <c r="B42" s="435">
        <v>1</v>
      </c>
      <c r="C42" s="176"/>
      <c r="D42" s="176"/>
      <c r="E42" s="176"/>
    </row>
    <row r="43" spans="1:5" s="225" customFormat="1">
      <c r="A43" s="389" t="s">
        <v>234</v>
      </c>
      <c r="B43" s="435">
        <v>1</v>
      </c>
      <c r="C43" s="176"/>
      <c r="D43" s="176"/>
      <c r="E43" s="176"/>
    </row>
    <row r="44" spans="1:5" s="82" customFormat="1" ht="27.75">
      <c r="A44" s="186" t="s">
        <v>79</v>
      </c>
      <c r="B44" s="185">
        <f>+SUM(B45)</f>
        <v>1</v>
      </c>
      <c r="C44" s="185">
        <f>+B44</f>
        <v>1</v>
      </c>
      <c r="D44" s="185">
        <f>+B44</f>
        <v>1</v>
      </c>
      <c r="E44" s="185">
        <f>+B44</f>
        <v>1</v>
      </c>
    </row>
    <row r="45" spans="1:5">
      <c r="A45" s="174" t="s">
        <v>68</v>
      </c>
      <c r="B45" s="172">
        <v>1</v>
      </c>
      <c r="C45" s="172"/>
      <c r="D45" s="172"/>
      <c r="E45" s="172"/>
    </row>
    <row r="46" spans="1:5" s="82" customFormat="1" ht="27.75">
      <c r="A46" s="187" t="s">
        <v>80</v>
      </c>
      <c r="B46" s="185">
        <f>+SUM(B47:B48)</f>
        <v>1</v>
      </c>
      <c r="C46" s="185">
        <f>+B46</f>
        <v>1</v>
      </c>
      <c r="D46" s="185">
        <f>+B46</f>
        <v>1</v>
      </c>
      <c r="E46" s="185">
        <f>+B46</f>
        <v>1</v>
      </c>
    </row>
    <row r="47" spans="1:5">
      <c r="A47" s="174" t="s">
        <v>69</v>
      </c>
      <c r="B47" s="172">
        <v>1</v>
      </c>
      <c r="C47" s="172"/>
      <c r="D47" s="172"/>
      <c r="E47" s="172"/>
    </row>
    <row r="48" spans="1:5" hidden="1">
      <c r="A48" s="201"/>
      <c r="B48" s="202"/>
      <c r="C48" s="202"/>
      <c r="D48" s="202"/>
      <c r="E48" s="202"/>
    </row>
    <row r="49" spans="1:5" ht="27.75">
      <c r="A49" s="181" t="s">
        <v>108</v>
      </c>
      <c r="B49" s="182">
        <f>SUM(B46,B44,B22,B5)</f>
        <v>8</v>
      </c>
      <c r="C49" s="182">
        <f>SUM(C46,C44,C22,C5)</f>
        <v>14</v>
      </c>
      <c r="D49" s="182">
        <f>SUM(D46,D44,D22,D5)</f>
        <v>14</v>
      </c>
      <c r="E49" s="182">
        <f>SUM(E46,E44,E22,E5)</f>
        <v>21</v>
      </c>
    </row>
  </sheetData>
  <mergeCells count="7">
    <mergeCell ref="A1:E1"/>
    <mergeCell ref="A3:A4"/>
    <mergeCell ref="C3:C4"/>
    <mergeCell ref="D3:D4"/>
    <mergeCell ref="E3:E4"/>
    <mergeCell ref="A2:E2"/>
    <mergeCell ref="B3:B4"/>
  </mergeCells>
  <phoneticPr fontId="2" type="noConversion"/>
  <pageMargins left="0.47244094488188998" right="0.47244094488188998" top="0.63" bottom="0.5" header="0.31496062992126" footer="0.31496062992126"/>
  <pageSetup paperSize="9" scale="78" orientation="portrait" r:id="rId1"/>
  <headerFooter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X76"/>
  <sheetViews>
    <sheetView zoomScale="70" zoomScaleNormal="70" workbookViewId="0">
      <pane xSplit="1" ySplit="4" topLeftCell="B11" activePane="bottomRight" state="frozen"/>
      <selection pane="topRight" activeCell="B1" sqref="B1"/>
      <selection pane="bottomLeft" activeCell="A5" sqref="A5"/>
      <selection pane="bottomRight" activeCell="E13" sqref="E13"/>
    </sheetView>
  </sheetViews>
  <sheetFormatPr defaultRowHeight="21.75"/>
  <cols>
    <col min="1" max="1" width="35.375" style="17" customWidth="1"/>
    <col min="2" max="2" width="8.375" style="29" customWidth="1"/>
    <col min="3" max="3" width="9" style="29"/>
    <col min="4" max="4" width="9.375" style="29" bestFit="1" customWidth="1"/>
    <col min="5" max="5" width="12.875" style="36" bestFit="1" customWidth="1"/>
    <col min="6" max="12" width="9" style="36"/>
    <col min="13" max="21" width="9" style="29"/>
    <col min="22" max="16384" width="9" style="17"/>
  </cols>
  <sheetData>
    <row r="1" spans="1:24" s="2" customFormat="1" ht="27.75">
      <c r="A1" s="2" t="s">
        <v>127</v>
      </c>
      <c r="B1" s="14">
        <f>'ป1-สนอ.'!C2</f>
        <v>0</v>
      </c>
      <c r="D1" s="12"/>
      <c r="F1" s="16"/>
      <c r="G1" s="16"/>
      <c r="H1" s="16"/>
      <c r="I1" s="16"/>
      <c r="J1" s="16"/>
      <c r="K1" s="16"/>
      <c r="L1" s="16"/>
      <c r="M1" s="12"/>
      <c r="N1" s="12"/>
      <c r="O1" s="12"/>
      <c r="P1" s="12"/>
      <c r="Q1" s="12"/>
      <c r="R1" s="12"/>
      <c r="S1" s="12"/>
      <c r="T1" s="12"/>
      <c r="U1" s="12"/>
    </row>
    <row r="2" spans="1:24">
      <c r="A2" s="641" t="s">
        <v>119</v>
      </c>
      <c r="B2" s="644" t="s">
        <v>120</v>
      </c>
      <c r="C2" s="645"/>
      <c r="D2" s="646" t="s">
        <v>121</v>
      </c>
      <c r="E2" s="646"/>
      <c r="F2" s="647" t="s">
        <v>113</v>
      </c>
      <c r="G2" s="648"/>
      <c r="H2" s="648"/>
      <c r="I2" s="649"/>
      <c r="J2" s="647" t="s">
        <v>114</v>
      </c>
      <c r="K2" s="648"/>
      <c r="L2" s="648"/>
      <c r="M2" s="649"/>
      <c r="N2" s="647" t="s">
        <v>122</v>
      </c>
      <c r="O2" s="648"/>
      <c r="P2" s="648"/>
      <c r="Q2" s="649"/>
      <c r="R2" s="633" t="s">
        <v>123</v>
      </c>
      <c r="S2" s="634"/>
      <c r="T2" s="634"/>
      <c r="U2" s="635"/>
    </row>
    <row r="3" spans="1:24" ht="21.75" customHeight="1">
      <c r="A3" s="642"/>
      <c r="B3" s="653" t="s">
        <v>124</v>
      </c>
      <c r="C3" s="653" t="s">
        <v>125</v>
      </c>
      <c r="D3" s="639">
        <f>B1</f>
        <v>0</v>
      </c>
      <c r="E3" s="640"/>
      <c r="F3" s="650"/>
      <c r="G3" s="651"/>
      <c r="H3" s="651"/>
      <c r="I3" s="652"/>
      <c r="J3" s="650"/>
      <c r="K3" s="651"/>
      <c r="L3" s="651"/>
      <c r="M3" s="652"/>
      <c r="N3" s="650"/>
      <c r="O3" s="651"/>
      <c r="P3" s="651"/>
      <c r="Q3" s="652"/>
      <c r="R3" s="636"/>
      <c r="S3" s="637"/>
      <c r="T3" s="637"/>
      <c r="U3" s="638"/>
    </row>
    <row r="4" spans="1:24" ht="43.5">
      <c r="A4" s="643"/>
      <c r="B4" s="654"/>
      <c r="C4" s="654"/>
      <c r="D4" s="13" t="s">
        <v>124</v>
      </c>
      <c r="E4" s="13" t="s">
        <v>126</v>
      </c>
      <c r="F4" s="3" t="s">
        <v>115</v>
      </c>
      <c r="G4" s="3" t="s">
        <v>116</v>
      </c>
      <c r="H4" s="3" t="s">
        <v>117</v>
      </c>
      <c r="I4" s="3" t="s">
        <v>108</v>
      </c>
      <c r="J4" s="3" t="s">
        <v>115</v>
      </c>
      <c r="K4" s="3" t="s">
        <v>116</v>
      </c>
      <c r="L4" s="3" t="s">
        <v>117</v>
      </c>
      <c r="M4" s="3" t="s">
        <v>108</v>
      </c>
      <c r="N4" s="3" t="s">
        <v>115</v>
      </c>
      <c r="O4" s="3" t="s">
        <v>116</v>
      </c>
      <c r="P4" s="3" t="s">
        <v>117</v>
      </c>
      <c r="Q4" s="3" t="s">
        <v>108</v>
      </c>
      <c r="R4" s="3" t="s">
        <v>115</v>
      </c>
      <c r="S4" s="3" t="s">
        <v>116</v>
      </c>
      <c r="T4" s="3" t="s">
        <v>117</v>
      </c>
      <c r="U4" s="4" t="s">
        <v>108</v>
      </c>
    </row>
    <row r="5" spans="1:24" s="20" customFormat="1" ht="43.5">
      <c r="A5" s="7" t="str">
        <f>เป้าหมาย!A5</f>
        <v>องค์ประกอบที่ 1 ปรัชญา ปณิธาน วัตถุประสงค์ และแผนดำเนินการ</v>
      </c>
      <c r="B5" s="8"/>
      <c r="C5" s="8"/>
      <c r="D5" s="11"/>
      <c r="E5" s="11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9"/>
      <c r="W5" s="19"/>
      <c r="X5" s="19"/>
    </row>
    <row r="6" spans="1:24" s="22" customFormat="1" ht="27.75">
      <c r="A6" s="9" t="str">
        <f>เป้าหมาย!A6</f>
        <v xml:space="preserve">ตัวบ่งชี้ที่ 1.1 กระบวนการพัฒนาแผน  </v>
      </c>
      <c r="B6" s="54" t="e">
        <f>เป้าหมาย!#REF!</f>
        <v>#REF!</v>
      </c>
      <c r="C6" s="54">
        <v>1</v>
      </c>
      <c r="D6" s="39">
        <f>'ป1-สนอ.'!F16</f>
        <v>4</v>
      </c>
      <c r="E6" s="39">
        <f>'ป1-สนอ.'!F16</f>
        <v>4</v>
      </c>
      <c r="F6" s="15"/>
      <c r="G6" s="15">
        <f>D6</f>
        <v>4</v>
      </c>
      <c r="H6" s="15"/>
      <c r="I6" s="38">
        <f>SUM(F6:H6)</f>
        <v>4</v>
      </c>
      <c r="J6" s="15"/>
      <c r="K6" s="15">
        <f>E6</f>
        <v>4</v>
      </c>
      <c r="L6" s="15"/>
      <c r="M6" s="38">
        <f>SUM(J6:L6)</f>
        <v>4</v>
      </c>
      <c r="N6" s="48"/>
      <c r="O6" s="48">
        <v>1</v>
      </c>
      <c r="P6" s="48"/>
      <c r="Q6" s="46">
        <f>SUM(N6:P6)</f>
        <v>1</v>
      </c>
      <c r="R6" s="48"/>
      <c r="S6" s="48">
        <v>1</v>
      </c>
      <c r="T6" s="48"/>
      <c r="U6" s="46">
        <f>SUM(R6:T6)</f>
        <v>1</v>
      </c>
      <c r="V6" s="21"/>
      <c r="W6" s="21"/>
      <c r="X6" s="21"/>
    </row>
    <row r="7" spans="1:24" s="22" customFormat="1" ht="27.75" hidden="1">
      <c r="A7" s="9" t="str">
        <f>เป้าหมาย!A7</f>
        <v>ตัวบ่งชี้ที่ 1.2 ตัวบ่งชี้อัตลักษณ์ (สนอ.)</v>
      </c>
      <c r="B7" s="54"/>
      <c r="C7" s="54"/>
      <c r="D7" s="40"/>
      <c r="E7" s="40"/>
      <c r="F7" s="15"/>
      <c r="G7" s="15"/>
      <c r="H7" s="15"/>
      <c r="I7" s="38">
        <f>SUM(F7:H7)</f>
        <v>0</v>
      </c>
      <c r="J7" s="15"/>
      <c r="K7" s="15"/>
      <c r="L7" s="15"/>
      <c r="M7" s="38">
        <f>SUM(J7:L7)</f>
        <v>0</v>
      </c>
      <c r="N7" s="48"/>
      <c r="O7" s="48"/>
      <c r="P7" s="48"/>
      <c r="Q7" s="46">
        <f>SUM(N7:P7)</f>
        <v>0</v>
      </c>
      <c r="R7" s="48"/>
      <c r="S7" s="48"/>
      <c r="T7" s="48"/>
      <c r="U7" s="46">
        <f>SUM(R7:T7)</f>
        <v>0</v>
      </c>
      <c r="V7" s="21"/>
      <c r="W7" s="21"/>
      <c r="X7" s="21"/>
    </row>
    <row r="8" spans="1:24" s="22" customFormat="1" ht="43.5">
      <c r="A8" s="238" t="str">
        <f>เป้าหมาย!A8</f>
        <v>ตัวบ่งชี้ที่ 1.2.1  ระดับความพึงพอใจของผู้รับบริการต่อการให้บริการของสำนักงานอธิการบดี</v>
      </c>
      <c r="B8" s="339"/>
      <c r="C8" s="342">
        <v>1</v>
      </c>
      <c r="D8" s="340"/>
      <c r="E8" s="43">
        <f>+'ป1-สนอ.'!F19</f>
        <v>4</v>
      </c>
      <c r="F8" s="15"/>
      <c r="G8" s="15"/>
      <c r="H8" s="15"/>
      <c r="I8" s="38">
        <f>SUM(F8:H8)</f>
        <v>0</v>
      </c>
      <c r="J8" s="15"/>
      <c r="K8" s="15"/>
      <c r="L8" s="15">
        <f>+E8</f>
        <v>4</v>
      </c>
      <c r="M8" s="38">
        <f>SUM(J8:L8)</f>
        <v>4</v>
      </c>
      <c r="N8" s="48"/>
      <c r="O8" s="48"/>
      <c r="P8" s="48"/>
      <c r="Q8" s="46">
        <f>SUM(N8:P8)</f>
        <v>0</v>
      </c>
      <c r="R8" s="48"/>
      <c r="S8" s="48"/>
      <c r="T8" s="48">
        <v>1</v>
      </c>
      <c r="U8" s="46">
        <f>SUM(R8:T8)</f>
        <v>1</v>
      </c>
      <c r="V8" s="21"/>
      <c r="W8" s="21"/>
      <c r="X8" s="21"/>
    </row>
    <row r="9" spans="1:24" s="22" customFormat="1" ht="43.5">
      <c r="A9" s="238" t="str">
        <f>เป้าหมาย!A9</f>
        <v>ตัวบ่งชี้ที่ 1.2.2 ร้อยละเฉลี่ยของบุคลากรที่เข้าร่วมกิจกรรมสาธารณประโยชน์ที่สำนักงานอธิการบดีจัดขึ้น</v>
      </c>
      <c r="B9" s="339"/>
      <c r="C9" s="342">
        <v>1</v>
      </c>
      <c r="D9" s="340"/>
      <c r="E9" s="43">
        <f>+'ป1-สนอ.'!F21</f>
        <v>5</v>
      </c>
      <c r="F9" s="15"/>
      <c r="G9" s="15"/>
      <c r="H9" s="15"/>
      <c r="I9" s="38">
        <f>SUM(F9:H9)</f>
        <v>0</v>
      </c>
      <c r="J9" s="15"/>
      <c r="K9" s="15"/>
      <c r="L9" s="15">
        <f t="shared" ref="L9:L10" si="0">+E9</f>
        <v>5</v>
      </c>
      <c r="M9" s="38">
        <f t="shared" ref="M9:M10" si="1">SUM(J9:L9)</f>
        <v>5</v>
      </c>
      <c r="N9" s="48"/>
      <c r="O9" s="48"/>
      <c r="P9" s="48"/>
      <c r="Q9" s="46">
        <f>SUM(N9:P9)</f>
        <v>0</v>
      </c>
      <c r="R9" s="48"/>
      <c r="S9" s="48"/>
      <c r="T9" s="48">
        <v>1</v>
      </c>
      <c r="U9" s="46">
        <f t="shared" ref="U9:U10" si="2">SUM(R9:T9)</f>
        <v>1</v>
      </c>
      <c r="V9" s="21"/>
      <c r="W9" s="21"/>
      <c r="X9" s="21"/>
    </row>
    <row r="10" spans="1:24" s="22" customFormat="1" ht="51" customHeight="1">
      <c r="A10" s="238" t="str">
        <f>เป้าหมาย!A10</f>
        <v>ตัวบ่งชี้ที่ 1.2.3 จำนวนหน่วยงานของสำนักงานอธิการบดีที่ได้มีการแลกเปลี่ยนเรียนรู้ร่วมกับหน่วยงานอื่น</v>
      </c>
      <c r="B10" s="339"/>
      <c r="C10" s="342">
        <v>1</v>
      </c>
      <c r="D10" s="340"/>
      <c r="E10" s="368">
        <f>+'ป1-สนอ.'!F24</f>
        <v>5</v>
      </c>
      <c r="F10" s="15"/>
      <c r="G10" s="15"/>
      <c r="H10" s="15"/>
      <c r="I10" s="38">
        <f>SUM(F10:H10)</f>
        <v>0</v>
      </c>
      <c r="J10" s="15"/>
      <c r="K10" s="15"/>
      <c r="L10" s="15">
        <f t="shared" si="0"/>
        <v>5</v>
      </c>
      <c r="M10" s="38">
        <f t="shared" si="1"/>
        <v>5</v>
      </c>
      <c r="N10" s="48"/>
      <c r="O10" s="48"/>
      <c r="P10" s="48"/>
      <c r="Q10" s="46">
        <f>SUM(N10:P10)</f>
        <v>0</v>
      </c>
      <c r="R10" s="48"/>
      <c r="S10" s="48"/>
      <c r="T10" s="48">
        <v>1</v>
      </c>
      <c r="U10" s="46">
        <f t="shared" si="2"/>
        <v>1</v>
      </c>
      <c r="V10" s="21"/>
      <c r="W10" s="21"/>
      <c r="X10" s="21"/>
    </row>
    <row r="11" spans="1:24" s="25" customFormat="1" ht="27.75">
      <c r="A11" s="10" t="s">
        <v>128</v>
      </c>
      <c r="B11" s="55" t="e">
        <f>SUM(B6:B10)</f>
        <v>#REF!</v>
      </c>
      <c r="C11" s="55">
        <f>SUM(C6:C10)</f>
        <v>4</v>
      </c>
      <c r="D11" s="41" t="e">
        <f>D6/B11</f>
        <v>#REF!</v>
      </c>
      <c r="E11" s="41">
        <f>SUM(E6:E10)/C11</f>
        <v>4.5</v>
      </c>
      <c r="F11" s="23" t="e">
        <f t="shared" ref="F11:M11" si="3">SUM(F6:F10)/N11</f>
        <v>#DIV/0!</v>
      </c>
      <c r="G11" s="23">
        <f t="shared" si="3"/>
        <v>4</v>
      </c>
      <c r="H11" s="23" t="e">
        <f t="shared" si="3"/>
        <v>#DIV/0!</v>
      </c>
      <c r="I11" s="23">
        <f t="shared" si="3"/>
        <v>4</v>
      </c>
      <c r="J11" s="23" t="e">
        <f t="shared" si="3"/>
        <v>#DIV/0!</v>
      </c>
      <c r="K11" s="23">
        <f t="shared" si="3"/>
        <v>4</v>
      </c>
      <c r="L11" s="23">
        <f t="shared" si="3"/>
        <v>4.666666666666667</v>
      </c>
      <c r="M11" s="23">
        <f t="shared" si="3"/>
        <v>4.5</v>
      </c>
      <c r="N11" s="49">
        <f t="shared" ref="N11:R11" si="4">SUM(N6:N10)</f>
        <v>0</v>
      </c>
      <c r="O11" s="49">
        <f t="shared" si="4"/>
        <v>1</v>
      </c>
      <c r="P11" s="49">
        <f t="shared" si="4"/>
        <v>0</v>
      </c>
      <c r="Q11" s="49">
        <f>SUM(Q6:Q10)</f>
        <v>1</v>
      </c>
      <c r="R11" s="49">
        <f t="shared" si="4"/>
        <v>0</v>
      </c>
      <c r="S11" s="49">
        <f>SUM(S6:S10)</f>
        <v>1</v>
      </c>
      <c r="T11" s="49">
        <f>SUM(T6:T10)</f>
        <v>3</v>
      </c>
      <c r="U11" s="49">
        <f>SUM(U6:U10)</f>
        <v>4</v>
      </c>
      <c r="V11" s="24"/>
      <c r="W11" s="24"/>
      <c r="X11" s="24"/>
    </row>
    <row r="12" spans="1:24" s="28" customFormat="1" ht="27.75">
      <c r="A12" s="7" t="str">
        <f>เป้าหมาย!A22</f>
        <v>องค์ประกอบที่ 7  การบริหารและการจัดการ</v>
      </c>
      <c r="B12" s="58"/>
      <c r="C12" s="58"/>
      <c r="D12" s="45"/>
      <c r="E12" s="26"/>
      <c r="F12" s="26"/>
      <c r="G12" s="26"/>
      <c r="H12" s="26"/>
      <c r="I12" s="26"/>
      <c r="J12" s="26"/>
      <c r="K12" s="26"/>
      <c r="L12" s="26"/>
      <c r="M12" s="45"/>
      <c r="N12" s="52"/>
      <c r="O12" s="52"/>
      <c r="P12" s="52"/>
      <c r="Q12" s="52"/>
      <c r="R12" s="52"/>
      <c r="S12" s="52"/>
      <c r="T12" s="52"/>
      <c r="U12" s="52"/>
      <c r="V12" s="27"/>
      <c r="W12" s="27"/>
      <c r="X12" s="27"/>
    </row>
    <row r="13" spans="1:24" ht="65.25">
      <c r="A13" s="9" t="str">
        <f>เป้าหมาย!A23</f>
        <v>ตัวบ่งชี้ที่ 7.1  ภาวะผู้นำของสภามหาวิทยาลัย/คณะกรรมการบริหารฯ และผู้บริหารทุกระดับของมหาวิทยาลัย/หน่วยงาน</v>
      </c>
      <c r="B13" s="57">
        <v>1</v>
      </c>
      <c r="C13" s="57">
        <v>1</v>
      </c>
      <c r="D13" s="15">
        <f>'ป1-สนอ.'!F40</f>
        <v>3</v>
      </c>
      <c r="E13" s="15">
        <f>D13</f>
        <v>3</v>
      </c>
      <c r="F13" s="15"/>
      <c r="G13" s="15">
        <f>D13</f>
        <v>3</v>
      </c>
      <c r="H13" s="15"/>
      <c r="I13" s="38">
        <f t="shared" ref="I13:I19" si="5">SUM(F13:H13)</f>
        <v>3</v>
      </c>
      <c r="J13" s="15"/>
      <c r="K13" s="15">
        <f>E13</f>
        <v>3</v>
      </c>
      <c r="L13" s="15"/>
      <c r="M13" s="38">
        <f t="shared" ref="M13:M20" si="6">SUM(J13:L13)</f>
        <v>3</v>
      </c>
      <c r="N13" s="51"/>
      <c r="O13" s="51">
        <v>1</v>
      </c>
      <c r="P13" s="51"/>
      <c r="Q13" s="46">
        <f t="shared" ref="Q13:Q19" si="7">SUM(N13:P13)</f>
        <v>1</v>
      </c>
      <c r="R13" s="51"/>
      <c r="S13" s="51">
        <v>1</v>
      </c>
      <c r="T13" s="51"/>
      <c r="U13" s="46">
        <f t="shared" ref="U13:U20" si="8">SUM(R13:T13)</f>
        <v>1</v>
      </c>
      <c r="V13" s="2"/>
      <c r="W13" s="2"/>
      <c r="X13" s="2"/>
    </row>
    <row r="14" spans="1:24" ht="43.5">
      <c r="A14" s="9" t="str">
        <f>เป้าหมาย!A24</f>
        <v>ตัวบ่งชี้ที่ 7.2 การพัฒนามหาวิทยาลัย/หน่วยงานสู่มหาวิทยาลัย/หน่วยงานเรียนรู้</v>
      </c>
      <c r="B14" s="57">
        <v>1</v>
      </c>
      <c r="C14" s="57">
        <v>1</v>
      </c>
      <c r="D14" s="44">
        <f>'ป1-สนอ.'!F42</f>
        <v>5</v>
      </c>
      <c r="E14" s="15">
        <f>D14</f>
        <v>5</v>
      </c>
      <c r="F14" s="15"/>
      <c r="G14" s="15">
        <f>D14</f>
        <v>5</v>
      </c>
      <c r="H14" s="15"/>
      <c r="I14" s="38">
        <f t="shared" si="5"/>
        <v>5</v>
      </c>
      <c r="J14" s="15"/>
      <c r="K14" s="15">
        <f>E14</f>
        <v>5</v>
      </c>
      <c r="L14" s="15"/>
      <c r="M14" s="38">
        <f t="shared" si="6"/>
        <v>5</v>
      </c>
      <c r="N14" s="51"/>
      <c r="O14" s="51">
        <v>1</v>
      </c>
      <c r="P14" s="51"/>
      <c r="Q14" s="46">
        <f t="shared" si="7"/>
        <v>1</v>
      </c>
      <c r="R14" s="51"/>
      <c r="S14" s="51">
        <v>1</v>
      </c>
      <c r="T14" s="51"/>
      <c r="U14" s="46">
        <f t="shared" si="8"/>
        <v>1</v>
      </c>
      <c r="V14" s="2"/>
      <c r="W14" s="2"/>
      <c r="X14" s="2"/>
    </row>
    <row r="15" spans="1:24" ht="43.5">
      <c r="A15" s="9" t="str">
        <f>เป้าหมาย!A25</f>
        <v>ตัวบ่งชี้ที่ 7.3 ระบบสารสนเทศเพื่อการบริหารและการตัดสินใจ</v>
      </c>
      <c r="B15" s="57">
        <v>1</v>
      </c>
      <c r="C15" s="57">
        <v>1</v>
      </c>
      <c r="D15" s="44">
        <f>'ป1-สนอ.'!F44</f>
        <v>5</v>
      </c>
      <c r="E15" s="15">
        <f>D15</f>
        <v>5</v>
      </c>
      <c r="F15" s="15"/>
      <c r="G15" s="15">
        <f>D15</f>
        <v>5</v>
      </c>
      <c r="H15" s="15"/>
      <c r="I15" s="38">
        <f t="shared" si="5"/>
        <v>5</v>
      </c>
      <c r="J15" s="15"/>
      <c r="K15" s="15">
        <f>E15</f>
        <v>5</v>
      </c>
      <c r="L15" s="15"/>
      <c r="M15" s="38">
        <f t="shared" si="6"/>
        <v>5</v>
      </c>
      <c r="N15" s="51"/>
      <c r="O15" s="51">
        <v>1</v>
      </c>
      <c r="P15" s="51"/>
      <c r="Q15" s="46">
        <f t="shared" si="7"/>
        <v>1</v>
      </c>
      <c r="R15" s="51"/>
      <c r="S15" s="51">
        <v>1</v>
      </c>
      <c r="T15" s="51"/>
      <c r="U15" s="46">
        <f t="shared" si="8"/>
        <v>1</v>
      </c>
      <c r="V15" s="2"/>
      <c r="W15" s="2"/>
      <c r="X15" s="2"/>
    </row>
    <row r="16" spans="1:24" ht="27.75">
      <c r="A16" s="9" t="str">
        <f>เป้าหมาย!A26</f>
        <v>ตัวบ่งชี้ที่ 7.4 ระบบบริหารความเสี่ยง</v>
      </c>
      <c r="B16" s="57">
        <v>1</v>
      </c>
      <c r="C16" s="57">
        <v>1</v>
      </c>
      <c r="D16" s="44">
        <f>'ป1-สนอ.'!F46</f>
        <v>5</v>
      </c>
      <c r="E16" s="15">
        <f>D16</f>
        <v>5</v>
      </c>
      <c r="F16" s="15"/>
      <c r="G16" s="15">
        <f>D16</f>
        <v>5</v>
      </c>
      <c r="H16" s="15"/>
      <c r="I16" s="38">
        <f t="shared" si="5"/>
        <v>5</v>
      </c>
      <c r="J16" s="15"/>
      <c r="K16" s="15">
        <f>E16</f>
        <v>5</v>
      </c>
      <c r="L16" s="15"/>
      <c r="M16" s="38">
        <f t="shared" si="6"/>
        <v>5</v>
      </c>
      <c r="N16" s="51"/>
      <c r="O16" s="51">
        <v>1</v>
      </c>
      <c r="P16" s="51"/>
      <c r="Q16" s="46">
        <f t="shared" si="7"/>
        <v>1</v>
      </c>
      <c r="R16" s="51"/>
      <c r="S16" s="51">
        <v>1</v>
      </c>
      <c r="T16" s="51"/>
      <c r="U16" s="46">
        <f t="shared" si="8"/>
        <v>1</v>
      </c>
      <c r="V16" s="2"/>
      <c r="W16" s="2"/>
      <c r="X16" s="2"/>
    </row>
    <row r="17" spans="1:24" ht="27.75" hidden="1">
      <c r="A17" s="9" t="str">
        <f>เป้าหมาย!A28</f>
        <v>ตัวบ่งชี้ที่ 7.6 ตัวบ่งชี้ตามภารกิจ (สนอ.)</v>
      </c>
      <c r="B17" s="57"/>
      <c r="C17" s="57"/>
      <c r="D17" s="44"/>
      <c r="E17" s="15"/>
      <c r="F17" s="15"/>
      <c r="G17" s="15"/>
      <c r="H17" s="15"/>
      <c r="I17" s="38">
        <f t="shared" si="5"/>
        <v>0</v>
      </c>
      <c r="J17" s="15"/>
      <c r="K17" s="15"/>
      <c r="L17" s="15"/>
      <c r="M17" s="38">
        <f t="shared" si="6"/>
        <v>0</v>
      </c>
      <c r="N17" s="51"/>
      <c r="O17" s="51"/>
      <c r="P17" s="51"/>
      <c r="Q17" s="46">
        <f t="shared" si="7"/>
        <v>0</v>
      </c>
      <c r="R17" s="51"/>
      <c r="S17" s="51"/>
      <c r="T17" s="51"/>
      <c r="U17" s="46">
        <f t="shared" si="8"/>
        <v>0</v>
      </c>
      <c r="V17" s="2"/>
      <c r="W17" s="2"/>
      <c r="X17" s="2"/>
    </row>
    <row r="18" spans="1:24" ht="27.75" hidden="1">
      <c r="A18" s="9" t="e">
        <f>เป้าหมาย!#REF!</f>
        <v>#REF!</v>
      </c>
      <c r="B18" s="57"/>
      <c r="C18" s="57"/>
      <c r="D18" s="44"/>
      <c r="E18" s="15"/>
      <c r="F18" s="15"/>
      <c r="G18" s="15"/>
      <c r="H18" s="15"/>
      <c r="I18" s="38">
        <f t="shared" si="5"/>
        <v>0</v>
      </c>
      <c r="J18" s="15"/>
      <c r="K18" s="15"/>
      <c r="L18" s="15"/>
      <c r="M18" s="38">
        <f t="shared" si="6"/>
        <v>0</v>
      </c>
      <c r="N18" s="51"/>
      <c r="O18" s="51"/>
      <c r="P18" s="51"/>
      <c r="Q18" s="46">
        <f t="shared" si="7"/>
        <v>0</v>
      </c>
      <c r="R18" s="51"/>
      <c r="S18" s="51"/>
      <c r="T18" s="51"/>
      <c r="U18" s="46">
        <f t="shared" si="8"/>
        <v>0</v>
      </c>
      <c r="V18" s="2"/>
      <c r="W18" s="2"/>
      <c r="X18" s="2"/>
    </row>
    <row r="19" spans="1:24" ht="43.5">
      <c r="A19" s="9" t="str">
        <f>เป้าหมาย!A27</f>
        <v>ตัวบ่งชี้ 7.5.2 การปฏิบัติตามบทบาทหน้าที่ของผู้บริหารสถาบัน</v>
      </c>
      <c r="B19" s="57"/>
      <c r="C19" s="57">
        <v>1</v>
      </c>
      <c r="D19" s="44"/>
      <c r="E19" s="15">
        <f>'ป1-สนอ.'!F50</f>
        <v>3.91</v>
      </c>
      <c r="F19" s="15"/>
      <c r="G19" s="15"/>
      <c r="H19" s="15"/>
      <c r="I19" s="38">
        <f t="shared" si="5"/>
        <v>0</v>
      </c>
      <c r="J19" s="15"/>
      <c r="K19" s="15"/>
      <c r="L19" s="15">
        <f>E19</f>
        <v>3.91</v>
      </c>
      <c r="M19" s="38">
        <f t="shared" si="6"/>
        <v>3.91</v>
      </c>
      <c r="N19" s="51"/>
      <c r="O19" s="51"/>
      <c r="P19" s="51"/>
      <c r="Q19" s="46">
        <f t="shared" si="7"/>
        <v>0</v>
      </c>
      <c r="R19" s="51"/>
      <c r="S19" s="51"/>
      <c r="T19" s="51">
        <v>1</v>
      </c>
      <c r="U19" s="46">
        <f t="shared" si="8"/>
        <v>1</v>
      </c>
      <c r="V19" s="2"/>
      <c r="W19" s="2"/>
      <c r="X19" s="2"/>
    </row>
    <row r="20" spans="1:24" ht="27.75">
      <c r="A20" s="238" t="str">
        <f>+เป้าหมาย!A29</f>
        <v>ตัวบ่งชี้ 7.6.1 ระบบพัฒนาบุคลากร</v>
      </c>
      <c r="B20" s="57"/>
      <c r="C20" s="79">
        <v>1</v>
      </c>
      <c r="D20" s="44"/>
      <c r="E20" s="15">
        <f>+'ป1-สนอ.'!F51</f>
        <v>5</v>
      </c>
      <c r="F20" s="15"/>
      <c r="G20" s="15"/>
      <c r="H20" s="15"/>
      <c r="I20" s="15"/>
      <c r="J20" s="15"/>
      <c r="K20" s="15">
        <f>E20</f>
        <v>5</v>
      </c>
      <c r="L20" s="15"/>
      <c r="M20" s="38">
        <f t="shared" si="6"/>
        <v>5</v>
      </c>
      <c r="N20" s="51"/>
      <c r="O20" s="51"/>
      <c r="P20" s="51"/>
      <c r="Q20" s="51"/>
      <c r="R20" s="51"/>
      <c r="S20" s="51">
        <v>1</v>
      </c>
      <c r="T20" s="51"/>
      <c r="U20" s="46">
        <f t="shared" si="8"/>
        <v>1</v>
      </c>
      <c r="V20" s="2"/>
      <c r="W20" s="2"/>
      <c r="X20" s="2"/>
    </row>
    <row r="21" spans="1:24" ht="65.25">
      <c r="A21" s="238" t="str">
        <f>+เป้าหมาย!A30</f>
        <v>ตัวบ่งชี้ 7.6.2 ระดับความพึงพอใจของบุคลากรทุกระดับต่อกระบวนการพัฒนาความรู้และทักษะของสำนักงานอธิการบดี</v>
      </c>
      <c r="B21" s="57"/>
      <c r="C21" s="79">
        <v>1</v>
      </c>
      <c r="D21" s="44"/>
      <c r="E21" s="15">
        <f>+'ป1-สนอ.'!F53</f>
        <v>4</v>
      </c>
      <c r="F21" s="15"/>
      <c r="G21" s="15"/>
      <c r="H21" s="15"/>
      <c r="I21" s="15"/>
      <c r="J21" s="15"/>
      <c r="K21" s="15"/>
      <c r="L21" s="15">
        <f t="shared" ref="L21:L22" si="9">E21</f>
        <v>4</v>
      </c>
      <c r="M21" s="38">
        <f t="shared" ref="M21:M22" si="10">SUM(J21:L21)</f>
        <v>4</v>
      </c>
      <c r="N21" s="51"/>
      <c r="O21" s="51"/>
      <c r="P21" s="51"/>
      <c r="Q21" s="51"/>
      <c r="R21" s="51"/>
      <c r="S21" s="51"/>
      <c r="T21" s="51">
        <v>1</v>
      </c>
      <c r="U21" s="46">
        <f t="shared" ref="U21" si="11">SUM(R21:T21)</f>
        <v>1</v>
      </c>
      <c r="V21" s="2"/>
      <c r="W21" s="2"/>
      <c r="X21" s="2"/>
    </row>
    <row r="22" spans="1:24" ht="43.5">
      <c r="A22" s="238" t="str">
        <f>+เป้าหมาย!A31</f>
        <v>ตัวบ่งชี้ที่ 7.6.3 ร้อยละของบุคลากรที่ได้รับการพัฒนาความรู้และทักษะ</v>
      </c>
      <c r="B22" s="57"/>
      <c r="C22" s="79">
        <v>1</v>
      </c>
      <c r="D22" s="44"/>
      <c r="E22" s="15">
        <f>+'ป1-สนอ.'!F56</f>
        <v>5</v>
      </c>
      <c r="F22" s="15"/>
      <c r="G22" s="15"/>
      <c r="H22" s="15"/>
      <c r="I22" s="15"/>
      <c r="J22" s="15"/>
      <c r="K22" s="15"/>
      <c r="L22" s="15">
        <f t="shared" si="9"/>
        <v>5</v>
      </c>
      <c r="M22" s="38">
        <f t="shared" si="10"/>
        <v>5</v>
      </c>
      <c r="N22" s="51"/>
      <c r="O22" s="51"/>
      <c r="P22" s="51"/>
      <c r="Q22" s="51"/>
      <c r="R22" s="51"/>
      <c r="S22" s="51"/>
      <c r="T22" s="51">
        <v>1</v>
      </c>
      <c r="U22" s="46">
        <f t="shared" ref="U22" si="12">SUM(R22:T22)</f>
        <v>1</v>
      </c>
      <c r="V22" s="2"/>
      <c r="W22" s="2"/>
      <c r="X22" s="2"/>
    </row>
    <row r="23" spans="1:24" s="25" customFormat="1" ht="27.75">
      <c r="A23" s="10" t="s">
        <v>128</v>
      </c>
      <c r="B23" s="55">
        <f>SUM(B13:B20)</f>
        <v>4</v>
      </c>
      <c r="C23" s="55">
        <f>SUM(C13:C22)</f>
        <v>8</v>
      </c>
      <c r="D23" s="41">
        <f>SUM(D13:D22)/B23</f>
        <v>4.5</v>
      </c>
      <c r="E23" s="41">
        <f>SUM(E13:E22)/C23</f>
        <v>4.4887499999999996</v>
      </c>
      <c r="F23" s="23" t="e">
        <f t="shared" ref="F23:J23" si="13">SUM(F13:F20)/N23</f>
        <v>#DIV/0!</v>
      </c>
      <c r="G23" s="23">
        <f t="shared" si="13"/>
        <v>4.5</v>
      </c>
      <c r="H23" s="23" t="e">
        <f t="shared" si="13"/>
        <v>#DIV/0!</v>
      </c>
      <c r="I23" s="23">
        <f>SUM(I13:I20)/Q23</f>
        <v>4.5</v>
      </c>
      <c r="J23" s="23" t="e">
        <f t="shared" si="13"/>
        <v>#DIV/0!</v>
      </c>
      <c r="K23" s="23">
        <f>SUM(K13:K22)/S23</f>
        <v>4.5999999999999996</v>
      </c>
      <c r="L23" s="23">
        <f t="shared" ref="L23:M23" si="14">SUM(L13:L22)/T23</f>
        <v>4.3033333333333337</v>
      </c>
      <c r="M23" s="23">
        <f t="shared" si="14"/>
        <v>4.4887499999999996</v>
      </c>
      <c r="N23" s="49">
        <f>SUM(N13:N20)</f>
        <v>0</v>
      </c>
      <c r="O23" s="49">
        <f t="shared" ref="O23:R23" si="15">SUM(O13:O20)</f>
        <v>4</v>
      </c>
      <c r="P23" s="49">
        <f t="shared" si="15"/>
        <v>0</v>
      </c>
      <c r="Q23" s="49">
        <f t="shared" si="15"/>
        <v>4</v>
      </c>
      <c r="R23" s="49">
        <f t="shared" si="15"/>
        <v>0</v>
      </c>
      <c r="S23" s="49">
        <f>SUM(S13:S20)</f>
        <v>5</v>
      </c>
      <c r="T23" s="49">
        <f>SUM(T13:T22)</f>
        <v>3</v>
      </c>
      <c r="U23" s="49">
        <f>SUM(U13:U22)</f>
        <v>8</v>
      </c>
      <c r="V23" s="24"/>
      <c r="W23" s="24"/>
      <c r="X23" s="24"/>
    </row>
    <row r="24" spans="1:24" s="28" customFormat="1" ht="27.75">
      <c r="A24" s="7" t="str">
        <f>เป้าหมาย!A44</f>
        <v>องค์ประกอบที่ 8  การเงินและงบประมาณ</v>
      </c>
      <c r="B24" s="58"/>
      <c r="C24" s="58"/>
      <c r="D24" s="45"/>
      <c r="E24" s="26"/>
      <c r="F24" s="26"/>
      <c r="G24" s="26"/>
      <c r="H24" s="26"/>
      <c r="I24" s="26"/>
      <c r="J24" s="26"/>
      <c r="K24" s="26"/>
      <c r="L24" s="26"/>
      <c r="M24" s="45"/>
      <c r="N24" s="52"/>
      <c r="O24" s="52"/>
      <c r="P24" s="52"/>
      <c r="Q24" s="52"/>
      <c r="R24" s="52"/>
      <c r="S24" s="52"/>
      <c r="T24" s="52"/>
      <c r="U24" s="52"/>
      <c r="V24" s="27"/>
      <c r="W24" s="27"/>
      <c r="X24" s="27"/>
    </row>
    <row r="25" spans="1:24" ht="27.75">
      <c r="A25" s="9" t="str">
        <f>เป้าหมาย!A45</f>
        <v>ตัวบ่งชี้ที่ 8.1 ระบบและกลไกการเงินและงบประมาณ</v>
      </c>
      <c r="B25" s="57">
        <v>1</v>
      </c>
      <c r="C25" s="57">
        <v>1</v>
      </c>
      <c r="D25" s="44">
        <f>'ป1-สนอ.'!F60</f>
        <v>2</v>
      </c>
      <c r="E25" s="15">
        <f>D25</f>
        <v>2</v>
      </c>
      <c r="F25" s="15"/>
      <c r="G25" s="15">
        <f>D25</f>
        <v>2</v>
      </c>
      <c r="H25" s="15"/>
      <c r="I25" s="38">
        <f>SUM(F25:H25)</f>
        <v>2</v>
      </c>
      <c r="J25" s="15"/>
      <c r="K25" s="15">
        <f>E25</f>
        <v>2</v>
      </c>
      <c r="L25" s="15"/>
      <c r="M25" s="38">
        <f>SUM(J25:L25)</f>
        <v>2</v>
      </c>
      <c r="N25" s="51"/>
      <c r="O25" s="51">
        <v>1</v>
      </c>
      <c r="P25" s="51"/>
      <c r="Q25" s="46">
        <f>SUM(N25:P25)</f>
        <v>1</v>
      </c>
      <c r="R25" s="51"/>
      <c r="S25" s="51">
        <v>1</v>
      </c>
      <c r="T25" s="51"/>
      <c r="U25" s="46">
        <f>SUM(R25:T25)</f>
        <v>1</v>
      </c>
      <c r="V25" s="2"/>
      <c r="W25" s="2"/>
      <c r="X25" s="2"/>
    </row>
    <row r="26" spans="1:24" s="25" customFormat="1" ht="27.75">
      <c r="A26" s="10" t="s">
        <v>128</v>
      </c>
      <c r="B26" s="55">
        <f>SUM(B25)</f>
        <v>1</v>
      </c>
      <c r="C26" s="55">
        <f>SUM(C25)</f>
        <v>1</v>
      </c>
      <c r="D26" s="41">
        <f>SUM(D25)/B26</f>
        <v>2</v>
      </c>
      <c r="E26" s="41">
        <f>SUM(E25)/C26</f>
        <v>2</v>
      </c>
      <c r="F26" s="23" t="e">
        <f>SUM(F25)/N26</f>
        <v>#DIV/0!</v>
      </c>
      <c r="G26" s="23">
        <f t="shared" ref="G26:M26" si="16">SUM(G25)/O26</f>
        <v>2</v>
      </c>
      <c r="H26" s="23" t="e">
        <f t="shared" si="16"/>
        <v>#DIV/0!</v>
      </c>
      <c r="I26" s="23">
        <f t="shared" si="16"/>
        <v>2</v>
      </c>
      <c r="J26" s="23" t="e">
        <f t="shared" si="16"/>
        <v>#DIV/0!</v>
      </c>
      <c r="K26" s="23">
        <f t="shared" si="16"/>
        <v>2</v>
      </c>
      <c r="L26" s="23" t="e">
        <f t="shared" si="16"/>
        <v>#DIV/0!</v>
      </c>
      <c r="M26" s="23">
        <f t="shared" si="16"/>
        <v>2</v>
      </c>
      <c r="N26" s="49">
        <f>SUM(N25)</f>
        <v>0</v>
      </c>
      <c r="O26" s="49">
        <f t="shared" ref="O26:T26" si="17">SUM(O25)</f>
        <v>1</v>
      </c>
      <c r="P26" s="49">
        <f t="shared" si="17"/>
        <v>0</v>
      </c>
      <c r="Q26" s="49">
        <f t="shared" si="17"/>
        <v>1</v>
      </c>
      <c r="R26" s="49">
        <f t="shared" si="17"/>
        <v>0</v>
      </c>
      <c r="S26" s="49">
        <f t="shared" si="17"/>
        <v>1</v>
      </c>
      <c r="T26" s="49">
        <f t="shared" si="17"/>
        <v>0</v>
      </c>
      <c r="U26" s="49">
        <f>SUM(U25)</f>
        <v>1</v>
      </c>
      <c r="V26" s="24"/>
      <c r="W26" s="24"/>
      <c r="X26" s="24"/>
    </row>
    <row r="27" spans="1:24" s="28" customFormat="1" ht="27.75">
      <c r="A27" s="7" t="str">
        <f>เป้าหมาย!A46</f>
        <v>องค์ประกอบที่ 9  ระบบและกลไกการประกันคุณภาพ</v>
      </c>
      <c r="B27" s="58"/>
      <c r="C27" s="58"/>
      <c r="D27" s="45"/>
      <c r="E27" s="26"/>
      <c r="F27" s="26"/>
      <c r="G27" s="26"/>
      <c r="H27" s="26"/>
      <c r="I27" s="26"/>
      <c r="J27" s="26"/>
      <c r="K27" s="26"/>
      <c r="L27" s="26"/>
      <c r="M27" s="45"/>
      <c r="N27" s="52"/>
      <c r="O27" s="52"/>
      <c r="P27" s="52"/>
      <c r="Q27" s="52"/>
      <c r="R27" s="52"/>
      <c r="S27" s="52"/>
      <c r="T27" s="52"/>
      <c r="U27" s="52"/>
      <c r="V27" s="27"/>
      <c r="W27" s="27"/>
      <c r="X27" s="27"/>
    </row>
    <row r="28" spans="1:24" ht="43.5">
      <c r="A28" s="9" t="str">
        <f>เป้าหมาย!A47</f>
        <v>ตัวบ่งชี้ที่ 9.1 ระบบและกลไกการประกันคุณภาพการศึกษาภายใน</v>
      </c>
      <c r="B28" s="57">
        <v>1</v>
      </c>
      <c r="C28" s="57">
        <v>1</v>
      </c>
      <c r="D28" s="44">
        <f>'ป1-สนอ.'!F64</f>
        <v>4</v>
      </c>
      <c r="E28" s="15">
        <f>D28</f>
        <v>4</v>
      </c>
      <c r="F28" s="15"/>
      <c r="G28" s="15">
        <f>D28</f>
        <v>4</v>
      </c>
      <c r="H28" s="15"/>
      <c r="I28" s="38">
        <f>SUM(F28:H28)</f>
        <v>4</v>
      </c>
      <c r="J28" s="15"/>
      <c r="K28" s="15">
        <f>E28</f>
        <v>4</v>
      </c>
      <c r="L28" s="15"/>
      <c r="M28" s="38">
        <f>SUM(J28:L28)</f>
        <v>4</v>
      </c>
      <c r="N28" s="51"/>
      <c r="O28" s="51">
        <v>1</v>
      </c>
      <c r="P28" s="51"/>
      <c r="Q28" s="46">
        <f>SUM(N28:P28)</f>
        <v>1</v>
      </c>
      <c r="R28" s="51"/>
      <c r="S28" s="51">
        <v>1</v>
      </c>
      <c r="T28" s="51"/>
      <c r="U28" s="46">
        <f>SUM(R28:T28)</f>
        <v>1</v>
      </c>
      <c r="V28" s="2"/>
      <c r="W28" s="2"/>
      <c r="X28" s="2"/>
    </row>
    <row r="29" spans="1:24" s="25" customFormat="1" ht="27.75">
      <c r="A29" s="10" t="s">
        <v>128</v>
      </c>
      <c r="B29" s="55">
        <f>SUM(B28)</f>
        <v>1</v>
      </c>
      <c r="C29" s="55">
        <f>SUM(C28)</f>
        <v>1</v>
      </c>
      <c r="D29" s="41">
        <f>SUM(D28)/B29</f>
        <v>4</v>
      </c>
      <c r="E29" s="41">
        <f>SUM(E28)/C29</f>
        <v>4</v>
      </c>
      <c r="F29" s="23" t="e">
        <f t="shared" ref="F29:K29" si="18">SUM(F28)/N29</f>
        <v>#DIV/0!</v>
      </c>
      <c r="G29" s="23">
        <f t="shared" si="18"/>
        <v>4</v>
      </c>
      <c r="H29" s="23" t="e">
        <f t="shared" si="18"/>
        <v>#DIV/0!</v>
      </c>
      <c r="I29" s="23">
        <f t="shared" si="18"/>
        <v>4</v>
      </c>
      <c r="J29" s="23" t="e">
        <f t="shared" si="18"/>
        <v>#DIV/0!</v>
      </c>
      <c r="K29" s="23">
        <f t="shared" si="18"/>
        <v>4</v>
      </c>
      <c r="L29" s="23" t="e">
        <f>SUM(L28:L28)/T29</f>
        <v>#DIV/0!</v>
      </c>
      <c r="M29" s="23">
        <f>SUM(M28:M28)/U29</f>
        <v>4</v>
      </c>
      <c r="N29" s="49">
        <f>SUM(N28)</f>
        <v>0</v>
      </c>
      <c r="O29" s="49">
        <f>SUM(O28)</f>
        <v>1</v>
      </c>
      <c r="P29" s="49">
        <f>SUM(P28)</f>
        <v>0</v>
      </c>
      <c r="Q29" s="49">
        <f>SUM(Q28)</f>
        <v>1</v>
      </c>
      <c r="R29" s="49">
        <f>SUM(R28:R28)</f>
        <v>0</v>
      </c>
      <c r="S29" s="49">
        <f>SUM(S28:S28)</f>
        <v>1</v>
      </c>
      <c r="T29" s="49">
        <f>SUM(T28:T28)</f>
        <v>0</v>
      </c>
      <c r="U29" s="49">
        <f>SUM(U28:U28)</f>
        <v>1</v>
      </c>
      <c r="V29" s="24"/>
      <c r="W29" s="24"/>
      <c r="X29" s="24"/>
    </row>
    <row r="30" spans="1:24" ht="27.75">
      <c r="A30" s="37" t="s">
        <v>138</v>
      </c>
      <c r="B30" s="47" t="e">
        <f>SUM(B11,B23,B26,B29)</f>
        <v>#REF!</v>
      </c>
      <c r="C30" s="47">
        <f>SUM(C11,C23,C26,C29)</f>
        <v>14</v>
      </c>
      <c r="D30" s="367" t="e">
        <f>SUM(D6:D10,D13:D22,D25,D28)/B30</f>
        <v>#REF!</v>
      </c>
      <c r="E30" s="367">
        <f>SUM(E6:E10,E13:E22,E25,E28)/C30</f>
        <v>4.2792857142857139</v>
      </c>
      <c r="F30" s="367" t="e">
        <f>SUM(F6:F10,F13:F22,F25,F28)/N30</f>
        <v>#DIV/0!</v>
      </c>
      <c r="G30" s="367">
        <f t="shared" ref="G30:M30" si="19">SUM(G6:G10,G13:G22,G25,G28)/O30</f>
        <v>4</v>
      </c>
      <c r="H30" s="367" t="e">
        <f t="shared" si="19"/>
        <v>#DIV/0!</v>
      </c>
      <c r="I30" s="367">
        <f t="shared" si="19"/>
        <v>4</v>
      </c>
      <c r="J30" s="367" t="e">
        <f t="shared" si="19"/>
        <v>#DIV/0!</v>
      </c>
      <c r="K30" s="367">
        <f t="shared" si="19"/>
        <v>4.125</v>
      </c>
      <c r="L30" s="367">
        <f t="shared" si="19"/>
        <v>4.4850000000000003</v>
      </c>
      <c r="M30" s="367">
        <f t="shared" si="19"/>
        <v>4.2792857142857139</v>
      </c>
      <c r="N30" s="47">
        <f t="shared" ref="N30:U30" si="20">SUM(N11,N23,N26,N29)</f>
        <v>0</v>
      </c>
      <c r="O30" s="47">
        <f t="shared" si="20"/>
        <v>7</v>
      </c>
      <c r="P30" s="47">
        <f t="shared" si="20"/>
        <v>0</v>
      </c>
      <c r="Q30" s="47">
        <f t="shared" si="20"/>
        <v>7</v>
      </c>
      <c r="R30" s="47">
        <f t="shared" si="20"/>
        <v>0</v>
      </c>
      <c r="S30" s="47">
        <f t="shared" si="20"/>
        <v>8</v>
      </c>
      <c r="T30" s="47">
        <f t="shared" si="20"/>
        <v>6</v>
      </c>
      <c r="U30" s="47">
        <f t="shared" si="20"/>
        <v>14</v>
      </c>
      <c r="V30" s="2"/>
      <c r="W30" s="2"/>
      <c r="X30" s="2"/>
    </row>
    <row r="31" spans="1:24">
      <c r="A31" s="1"/>
      <c r="D31" s="30"/>
      <c r="E31" s="5"/>
      <c r="F31" s="5"/>
      <c r="G31" s="5"/>
      <c r="H31" s="5"/>
      <c r="I31" s="5"/>
      <c r="J31" s="5"/>
      <c r="K31" s="5"/>
      <c r="L31" s="5"/>
      <c r="U31" s="203"/>
    </row>
    <row r="32" spans="1:24">
      <c r="A32" s="1"/>
      <c r="D32" s="30"/>
      <c r="E32" s="31"/>
      <c r="F32" s="32"/>
      <c r="G32" s="32"/>
      <c r="H32" s="32"/>
      <c r="I32" s="32"/>
      <c r="J32" s="32"/>
      <c r="K32" s="32"/>
      <c r="L32" s="32"/>
    </row>
    <row r="33" spans="1:12">
      <c r="A33" s="1"/>
      <c r="D33" s="30"/>
      <c r="E33" s="31"/>
      <c r="F33" s="33"/>
      <c r="G33" s="32"/>
      <c r="H33" s="32"/>
      <c r="I33" s="32"/>
      <c r="J33" s="33"/>
      <c r="K33" s="32"/>
      <c r="L33" s="32"/>
    </row>
    <row r="34" spans="1:12">
      <c r="A34" s="1"/>
      <c r="D34" s="30"/>
      <c r="E34" s="31"/>
      <c r="F34" s="32"/>
      <c r="G34" s="32"/>
      <c r="H34" s="32"/>
      <c r="I34" s="32"/>
      <c r="J34" s="33"/>
      <c r="K34" s="32"/>
      <c r="L34" s="32"/>
    </row>
    <row r="35" spans="1:12">
      <c r="A35" s="1"/>
      <c r="D35" s="30"/>
      <c r="E35" s="31"/>
      <c r="F35" s="32"/>
      <c r="G35" s="32"/>
      <c r="H35" s="32"/>
      <c r="I35" s="33"/>
      <c r="J35" s="32"/>
      <c r="K35" s="32"/>
      <c r="L35" s="32"/>
    </row>
    <row r="36" spans="1:12">
      <c r="A36" s="1"/>
      <c r="D36" s="30"/>
      <c r="E36" s="31"/>
      <c r="F36" s="32"/>
      <c r="G36" s="33"/>
      <c r="H36" s="32"/>
      <c r="I36" s="32"/>
      <c r="J36" s="32"/>
      <c r="K36" s="33"/>
      <c r="L36" s="32"/>
    </row>
    <row r="37" spans="1:12">
      <c r="A37" s="1"/>
      <c r="D37" s="30"/>
      <c r="E37" s="31"/>
      <c r="F37" s="32"/>
      <c r="G37" s="32"/>
      <c r="H37" s="32"/>
      <c r="I37" s="33"/>
      <c r="J37" s="32"/>
      <c r="K37" s="32"/>
      <c r="L37" s="32"/>
    </row>
    <row r="38" spans="1:12">
      <c r="A38" s="1"/>
      <c r="D38" s="30"/>
      <c r="E38" s="31"/>
      <c r="F38" s="32"/>
      <c r="G38" s="32"/>
      <c r="H38" s="32"/>
      <c r="I38" s="32"/>
      <c r="J38" s="32"/>
      <c r="K38" s="33"/>
      <c r="L38" s="32"/>
    </row>
    <row r="39" spans="1:12">
      <c r="A39" s="1"/>
      <c r="D39" s="30"/>
      <c r="E39" s="31"/>
      <c r="F39" s="32"/>
      <c r="G39" s="33"/>
      <c r="H39" s="32"/>
      <c r="I39" s="32"/>
      <c r="J39" s="32"/>
      <c r="K39" s="33"/>
      <c r="L39" s="32"/>
    </row>
    <row r="40" spans="1:12">
      <c r="A40" s="1"/>
      <c r="D40" s="30"/>
      <c r="E40" s="5"/>
      <c r="F40" s="5"/>
      <c r="G40" s="5"/>
      <c r="H40" s="5"/>
      <c r="I40" s="5"/>
      <c r="J40" s="5"/>
      <c r="K40" s="5"/>
      <c r="L40" s="5"/>
    </row>
    <row r="41" spans="1:12">
      <c r="A41" s="1"/>
      <c r="D41" s="30"/>
      <c r="E41" s="31"/>
      <c r="F41" s="32"/>
      <c r="G41" s="32"/>
      <c r="H41" s="32"/>
      <c r="I41" s="32"/>
      <c r="J41" s="32"/>
      <c r="K41" s="32"/>
      <c r="L41" s="32"/>
    </row>
    <row r="42" spans="1:12">
      <c r="A42" s="1"/>
      <c r="D42" s="30"/>
      <c r="E42" s="31"/>
      <c r="F42" s="33"/>
      <c r="G42" s="32"/>
      <c r="H42" s="32"/>
      <c r="I42" s="32"/>
      <c r="J42" s="33"/>
      <c r="K42" s="32"/>
      <c r="L42" s="32"/>
    </row>
    <row r="43" spans="1:12">
      <c r="A43" s="1"/>
      <c r="D43" s="30"/>
      <c r="E43" s="31"/>
      <c r="F43" s="32"/>
      <c r="G43" s="32"/>
      <c r="H43" s="32"/>
      <c r="I43" s="32"/>
      <c r="J43" s="32"/>
      <c r="K43" s="32"/>
      <c r="L43" s="32"/>
    </row>
    <row r="44" spans="1:12">
      <c r="A44" s="1"/>
      <c r="D44" s="30"/>
      <c r="E44" s="31"/>
      <c r="F44" s="32"/>
      <c r="G44" s="32"/>
      <c r="H44" s="32"/>
      <c r="I44" s="32"/>
      <c r="J44" s="32"/>
      <c r="K44" s="32"/>
      <c r="L44" s="32"/>
    </row>
    <row r="45" spans="1:12">
      <c r="A45" s="1"/>
      <c r="D45" s="30"/>
      <c r="E45" s="31"/>
      <c r="F45" s="32"/>
      <c r="G45" s="32"/>
      <c r="H45" s="32"/>
      <c r="I45" s="32"/>
      <c r="J45" s="32"/>
      <c r="K45" s="32"/>
      <c r="L45" s="32"/>
    </row>
    <row r="46" spans="1:12">
      <c r="A46" s="1"/>
      <c r="D46" s="30"/>
      <c r="E46" s="5"/>
      <c r="F46" s="5"/>
      <c r="G46" s="5"/>
      <c r="H46" s="5"/>
      <c r="I46" s="1"/>
      <c r="J46" s="1"/>
      <c r="K46" s="5"/>
      <c r="L46" s="5"/>
    </row>
    <row r="47" spans="1:12">
      <c r="A47" s="1"/>
      <c r="D47" s="30"/>
      <c r="E47" s="31"/>
      <c r="F47" s="32"/>
      <c r="G47" s="32"/>
      <c r="H47" s="32"/>
      <c r="I47" s="32"/>
      <c r="J47" s="32"/>
      <c r="K47" s="32"/>
      <c r="L47" s="32"/>
    </row>
    <row r="48" spans="1:12">
      <c r="A48" s="1"/>
      <c r="D48" s="30"/>
      <c r="E48" s="31"/>
      <c r="F48" s="33"/>
      <c r="G48" s="32"/>
      <c r="H48" s="32"/>
      <c r="I48" s="32"/>
      <c r="J48" s="33"/>
      <c r="K48" s="32"/>
      <c r="L48" s="32"/>
    </row>
    <row r="49" spans="1:12">
      <c r="A49" s="1"/>
      <c r="D49" s="30"/>
      <c r="E49" s="31"/>
      <c r="F49" s="33"/>
      <c r="G49" s="32"/>
      <c r="H49" s="32"/>
      <c r="I49" s="32"/>
      <c r="J49" s="33"/>
      <c r="K49" s="32"/>
      <c r="L49" s="32"/>
    </row>
    <row r="50" spans="1:12">
      <c r="A50" s="1"/>
      <c r="D50" s="30"/>
      <c r="E50" s="31"/>
      <c r="F50" s="33"/>
      <c r="G50" s="32"/>
      <c r="H50" s="32"/>
      <c r="I50" s="32"/>
      <c r="J50" s="33"/>
      <c r="K50" s="32"/>
      <c r="L50" s="32"/>
    </row>
    <row r="51" spans="1:12">
      <c r="A51" s="1"/>
      <c r="D51" s="30"/>
      <c r="E51" s="31"/>
      <c r="F51" s="33"/>
      <c r="G51" s="32"/>
      <c r="H51" s="32"/>
      <c r="I51" s="32"/>
      <c r="J51" s="33"/>
      <c r="K51" s="32"/>
      <c r="L51" s="32"/>
    </row>
    <row r="52" spans="1:12">
      <c r="A52" s="1"/>
      <c r="D52" s="30"/>
      <c r="E52" s="31"/>
      <c r="F52" s="32"/>
      <c r="G52" s="32"/>
      <c r="H52" s="32"/>
      <c r="I52" s="33"/>
      <c r="J52" s="32"/>
      <c r="K52" s="32"/>
      <c r="L52" s="32"/>
    </row>
    <row r="53" spans="1:12">
      <c r="A53" s="1"/>
      <c r="D53" s="30"/>
      <c r="E53" s="31"/>
      <c r="F53" s="32"/>
      <c r="G53" s="32"/>
      <c r="H53" s="32"/>
      <c r="I53" s="33"/>
      <c r="J53" s="32"/>
      <c r="K53" s="32"/>
      <c r="L53" s="32"/>
    </row>
    <row r="54" spans="1:12">
      <c r="A54" s="1"/>
      <c r="D54" s="30"/>
      <c r="E54" s="31"/>
      <c r="F54" s="32"/>
      <c r="G54" s="32"/>
      <c r="H54" s="32"/>
      <c r="I54" s="33"/>
      <c r="J54" s="32"/>
      <c r="K54" s="32"/>
      <c r="L54" s="32"/>
    </row>
    <row r="55" spans="1:12">
      <c r="A55" s="1"/>
      <c r="D55" s="30"/>
      <c r="E55" s="31"/>
      <c r="F55" s="32"/>
      <c r="G55" s="32"/>
      <c r="H55" s="32"/>
      <c r="I55" s="33"/>
      <c r="J55" s="32"/>
      <c r="K55" s="32"/>
      <c r="L55" s="32"/>
    </row>
    <row r="56" spans="1:12">
      <c r="A56" s="1"/>
      <c r="D56" s="30"/>
      <c r="E56" s="31"/>
      <c r="F56" s="32"/>
      <c r="G56" s="33"/>
      <c r="H56" s="32"/>
      <c r="I56" s="32"/>
      <c r="J56" s="32"/>
      <c r="K56" s="33"/>
      <c r="L56" s="32"/>
    </row>
    <row r="57" spans="1:12">
      <c r="A57" s="1"/>
      <c r="D57" s="30"/>
      <c r="E57" s="31"/>
      <c r="F57" s="32"/>
      <c r="G57" s="33"/>
      <c r="H57" s="32"/>
      <c r="I57" s="32"/>
      <c r="J57" s="32"/>
      <c r="K57" s="33"/>
      <c r="L57" s="32"/>
    </row>
    <row r="58" spans="1:12">
      <c r="A58" s="1"/>
      <c r="D58" s="30"/>
      <c r="E58" s="31"/>
      <c r="F58" s="33"/>
      <c r="G58" s="32"/>
      <c r="H58" s="32"/>
      <c r="I58" s="32"/>
      <c r="J58" s="33"/>
      <c r="K58" s="32"/>
      <c r="L58" s="32"/>
    </row>
    <row r="59" spans="1:12">
      <c r="A59" s="1"/>
      <c r="D59" s="30"/>
      <c r="E59" s="31"/>
      <c r="F59" s="32"/>
      <c r="G59" s="33"/>
      <c r="H59" s="32"/>
      <c r="I59" s="32"/>
      <c r="J59" s="32"/>
      <c r="K59" s="33"/>
      <c r="L59" s="32"/>
    </row>
    <row r="60" spans="1:12">
      <c r="A60" s="1"/>
      <c r="D60" s="30"/>
      <c r="E60" s="34"/>
      <c r="F60" s="35"/>
      <c r="G60" s="35"/>
      <c r="H60" s="32"/>
      <c r="I60" s="35"/>
      <c r="J60" s="35"/>
      <c r="K60" s="33"/>
      <c r="L60" s="32"/>
    </row>
    <row r="61" spans="1:12">
      <c r="A61" s="1"/>
      <c r="D61" s="30"/>
      <c r="E61" s="31"/>
      <c r="F61" s="32"/>
      <c r="G61" s="32"/>
      <c r="H61" s="32"/>
      <c r="I61" s="32"/>
      <c r="J61" s="33"/>
      <c r="K61" s="32"/>
      <c r="L61" s="32"/>
    </row>
    <row r="62" spans="1:12">
      <c r="A62" s="1"/>
      <c r="D62" s="30"/>
      <c r="E62" s="5"/>
      <c r="F62" s="5"/>
      <c r="G62" s="5"/>
      <c r="H62" s="5"/>
      <c r="I62" s="5"/>
      <c r="J62" s="5"/>
      <c r="K62" s="5"/>
      <c r="L62" s="5"/>
    </row>
    <row r="63" spans="1:12">
      <c r="A63" s="1"/>
      <c r="D63" s="30"/>
      <c r="E63" s="31"/>
      <c r="F63" s="32"/>
      <c r="G63" s="32"/>
      <c r="H63" s="32"/>
      <c r="I63" s="32"/>
      <c r="J63" s="32"/>
      <c r="K63" s="32"/>
      <c r="L63" s="32"/>
    </row>
    <row r="64" spans="1:12">
      <c r="A64" s="1"/>
      <c r="D64" s="30"/>
      <c r="E64" s="31"/>
      <c r="F64" s="33"/>
      <c r="G64" s="32"/>
      <c r="H64" s="32"/>
      <c r="I64" s="32"/>
      <c r="J64" s="33"/>
      <c r="K64" s="32"/>
      <c r="L64" s="32"/>
    </row>
    <row r="65" spans="1:12">
      <c r="A65" s="1"/>
      <c r="D65" s="30"/>
      <c r="E65" s="31"/>
      <c r="F65" s="33"/>
      <c r="G65" s="32"/>
      <c r="H65" s="32"/>
      <c r="I65" s="32"/>
      <c r="J65" s="33"/>
      <c r="K65" s="32"/>
      <c r="L65" s="32"/>
    </row>
    <row r="66" spans="1:12">
      <c r="D66" s="30"/>
      <c r="E66" s="31"/>
      <c r="F66" s="32"/>
      <c r="G66" s="32"/>
      <c r="H66" s="32"/>
      <c r="I66" s="33"/>
      <c r="J66" s="32"/>
      <c r="K66" s="32"/>
      <c r="L66" s="32"/>
    </row>
    <row r="67" spans="1:12">
      <c r="E67" s="35"/>
      <c r="F67" s="35"/>
      <c r="G67" s="35"/>
      <c r="H67" s="32"/>
      <c r="I67" s="33"/>
      <c r="J67" s="35"/>
      <c r="K67" s="35"/>
      <c r="L67" s="32"/>
    </row>
    <row r="68" spans="1:12">
      <c r="E68" s="32"/>
      <c r="F68" s="32"/>
      <c r="G68" s="32"/>
      <c r="H68" s="32"/>
      <c r="I68" s="33"/>
      <c r="J68" s="32"/>
      <c r="K68" s="32"/>
      <c r="L68" s="32"/>
    </row>
    <row r="69" spans="1:12">
      <c r="E69" s="5"/>
      <c r="F69" s="5"/>
      <c r="G69" s="5"/>
      <c r="H69" s="5"/>
      <c r="I69" s="5"/>
      <c r="J69" s="5"/>
      <c r="K69" s="5"/>
      <c r="L69" s="5"/>
    </row>
    <row r="70" spans="1:12">
      <c r="E70" s="32"/>
      <c r="F70" s="32"/>
      <c r="G70" s="32"/>
      <c r="H70" s="32"/>
      <c r="I70" s="32"/>
      <c r="J70" s="32"/>
      <c r="K70" s="32"/>
      <c r="L70" s="32"/>
    </row>
    <row r="71" spans="1:12">
      <c r="E71" s="32"/>
      <c r="F71" s="33"/>
      <c r="G71" s="32"/>
      <c r="H71" s="32"/>
      <c r="I71" s="32"/>
      <c r="J71" s="33"/>
      <c r="K71" s="32"/>
      <c r="L71" s="32"/>
    </row>
    <row r="72" spans="1:12">
      <c r="E72" s="32"/>
      <c r="F72" s="33"/>
      <c r="G72" s="32"/>
      <c r="H72" s="32"/>
      <c r="I72" s="32"/>
      <c r="J72" s="33"/>
      <c r="K72" s="32"/>
      <c r="L72" s="32"/>
    </row>
    <row r="73" spans="1:12">
      <c r="E73" s="32"/>
      <c r="F73" s="32"/>
      <c r="G73" s="33"/>
      <c r="H73" s="32"/>
      <c r="I73" s="32"/>
      <c r="J73" s="32"/>
      <c r="K73" s="33"/>
      <c r="L73" s="32"/>
    </row>
    <row r="74" spans="1:12">
      <c r="E74" s="5"/>
      <c r="F74" s="5"/>
      <c r="G74" s="5"/>
      <c r="H74" s="5"/>
      <c r="I74" s="1"/>
      <c r="J74" s="1"/>
      <c r="K74" s="1"/>
      <c r="L74" s="5"/>
    </row>
    <row r="75" spans="1:12">
      <c r="E75" s="5"/>
      <c r="F75" s="5"/>
      <c r="G75" s="5"/>
      <c r="H75" s="6"/>
      <c r="I75" s="5"/>
      <c r="J75" s="5"/>
      <c r="K75" s="5"/>
      <c r="L75" s="6"/>
    </row>
    <row r="76" spans="1:12">
      <c r="E76" s="32"/>
      <c r="F76" s="32"/>
      <c r="G76" s="32"/>
      <c r="H76" s="32"/>
      <c r="I76" s="32"/>
      <c r="J76" s="32"/>
      <c r="K76" s="32"/>
      <c r="L76" s="32"/>
    </row>
  </sheetData>
  <mergeCells count="10">
    <mergeCell ref="R2:U3"/>
    <mergeCell ref="D3:E3"/>
    <mergeCell ref="A2:A4"/>
    <mergeCell ref="B2:C2"/>
    <mergeCell ref="D2:E2"/>
    <mergeCell ref="F2:I3"/>
    <mergeCell ref="J2:M3"/>
    <mergeCell ref="N2:Q3"/>
    <mergeCell ref="C3:C4"/>
    <mergeCell ref="B3:B4"/>
  </mergeCells>
  <pageMargins left="0.7" right="0.7" top="0.75" bottom="0.75" header="0.3" footer="0.3"/>
  <pageSetup orientation="portrait" horizont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76"/>
  <sheetViews>
    <sheetView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3" sqref="A33"/>
    </sheetView>
  </sheetViews>
  <sheetFormatPr defaultRowHeight="21.75"/>
  <cols>
    <col min="1" max="1" width="35.375" style="17" customWidth="1"/>
    <col min="2" max="2" width="8.375" style="29" customWidth="1"/>
    <col min="3" max="3" width="9" style="29"/>
    <col min="4" max="4" width="9.375" style="29" bestFit="1" customWidth="1"/>
    <col min="5" max="5" width="12.875" style="36" bestFit="1" customWidth="1"/>
    <col min="6" max="12" width="9" style="36"/>
    <col min="13" max="21" width="9" style="29"/>
    <col min="22" max="16384" width="9" style="17"/>
  </cols>
  <sheetData>
    <row r="1" spans="1:24" s="2" customFormat="1" ht="27.75">
      <c r="A1" s="2" t="s">
        <v>141</v>
      </c>
      <c r="B1" s="14">
        <f>'ป1-สนอ.'!C2</f>
        <v>0</v>
      </c>
      <c r="D1" s="12"/>
      <c r="F1" s="16"/>
      <c r="G1" s="16"/>
      <c r="H1" s="16"/>
      <c r="I1" s="16"/>
      <c r="J1" s="16"/>
      <c r="K1" s="16"/>
      <c r="L1" s="16"/>
      <c r="M1" s="12"/>
      <c r="N1" s="12"/>
      <c r="O1" s="12"/>
      <c r="P1" s="12"/>
      <c r="Q1" s="12"/>
      <c r="R1" s="12"/>
      <c r="S1" s="12"/>
      <c r="T1" s="12"/>
      <c r="U1" s="12"/>
    </row>
    <row r="2" spans="1:24">
      <c r="A2" s="641" t="s">
        <v>119</v>
      </c>
      <c r="B2" s="644" t="s">
        <v>120</v>
      </c>
      <c r="C2" s="645"/>
      <c r="D2" s="646" t="s">
        <v>121</v>
      </c>
      <c r="E2" s="646"/>
      <c r="F2" s="647" t="s">
        <v>113</v>
      </c>
      <c r="G2" s="648"/>
      <c r="H2" s="648"/>
      <c r="I2" s="649"/>
      <c r="J2" s="647" t="s">
        <v>114</v>
      </c>
      <c r="K2" s="648"/>
      <c r="L2" s="648"/>
      <c r="M2" s="649"/>
      <c r="N2" s="647" t="s">
        <v>122</v>
      </c>
      <c r="O2" s="648"/>
      <c r="P2" s="648"/>
      <c r="Q2" s="649"/>
      <c r="R2" s="633" t="s">
        <v>123</v>
      </c>
      <c r="S2" s="634"/>
      <c r="T2" s="634"/>
      <c r="U2" s="635"/>
    </row>
    <row r="3" spans="1:24" ht="21.75" customHeight="1">
      <c r="A3" s="642"/>
      <c r="B3" s="653" t="s">
        <v>124</v>
      </c>
      <c r="C3" s="653" t="s">
        <v>125</v>
      </c>
      <c r="D3" s="639">
        <f>B1</f>
        <v>0</v>
      </c>
      <c r="E3" s="640"/>
      <c r="F3" s="650"/>
      <c r="G3" s="651"/>
      <c r="H3" s="651"/>
      <c r="I3" s="652"/>
      <c r="J3" s="650"/>
      <c r="K3" s="651"/>
      <c r="L3" s="651"/>
      <c r="M3" s="652"/>
      <c r="N3" s="650"/>
      <c r="O3" s="651"/>
      <c r="P3" s="651"/>
      <c r="Q3" s="652"/>
      <c r="R3" s="636"/>
      <c r="S3" s="637"/>
      <c r="T3" s="637"/>
      <c r="U3" s="638"/>
    </row>
    <row r="4" spans="1:24" ht="43.5">
      <c r="A4" s="643"/>
      <c r="B4" s="654"/>
      <c r="C4" s="654"/>
      <c r="D4" s="13" t="s">
        <v>124</v>
      </c>
      <c r="E4" s="13" t="s">
        <v>126</v>
      </c>
      <c r="F4" s="3" t="s">
        <v>115</v>
      </c>
      <c r="G4" s="3" t="s">
        <v>116</v>
      </c>
      <c r="H4" s="3" t="s">
        <v>117</v>
      </c>
      <c r="I4" s="3" t="s">
        <v>108</v>
      </c>
      <c r="J4" s="3" t="s">
        <v>115</v>
      </c>
      <c r="K4" s="3" t="s">
        <v>116</v>
      </c>
      <c r="L4" s="3" t="s">
        <v>117</v>
      </c>
      <c r="M4" s="3" t="s">
        <v>108</v>
      </c>
      <c r="N4" s="3" t="s">
        <v>115</v>
      </c>
      <c r="O4" s="3" t="s">
        <v>116</v>
      </c>
      <c r="P4" s="3" t="s">
        <v>117</v>
      </c>
      <c r="Q4" s="3" t="s">
        <v>108</v>
      </c>
      <c r="R4" s="3" t="s">
        <v>115</v>
      </c>
      <c r="S4" s="3" t="s">
        <v>116</v>
      </c>
      <c r="T4" s="3" t="s">
        <v>117</v>
      </c>
      <c r="U4" s="4" t="s">
        <v>108</v>
      </c>
    </row>
    <row r="5" spans="1:24" s="20" customFormat="1" ht="27.75">
      <c r="A5" s="7" t="s">
        <v>143</v>
      </c>
      <c r="B5" s="8"/>
      <c r="C5" s="8"/>
      <c r="D5" s="11"/>
      <c r="E5" s="11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9"/>
      <c r="W5" s="19"/>
      <c r="X5" s="19"/>
    </row>
    <row r="6" spans="1:24" s="25" customFormat="1" ht="27.75">
      <c r="A6" s="10" t="s">
        <v>128</v>
      </c>
      <c r="B6" s="55">
        <v>0</v>
      </c>
      <c r="C6" s="55">
        <v>0</v>
      </c>
      <c r="D6" s="41">
        <v>0</v>
      </c>
      <c r="E6" s="41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24"/>
      <c r="W6" s="24"/>
      <c r="X6" s="24"/>
    </row>
    <row r="7" spans="1:24" s="20" customFormat="1" ht="27.75">
      <c r="A7" s="7" t="s">
        <v>144</v>
      </c>
      <c r="B7" s="56"/>
      <c r="C7" s="56"/>
      <c r="D7" s="42"/>
      <c r="E7" s="42"/>
      <c r="F7" s="26"/>
      <c r="G7" s="26"/>
      <c r="H7" s="26"/>
      <c r="I7" s="26"/>
      <c r="J7" s="26"/>
      <c r="K7" s="26"/>
      <c r="L7" s="26"/>
      <c r="M7" s="26"/>
      <c r="N7" s="50"/>
      <c r="O7" s="50"/>
      <c r="P7" s="50"/>
      <c r="Q7" s="50"/>
      <c r="R7" s="50"/>
      <c r="S7" s="50"/>
      <c r="T7" s="50"/>
      <c r="U7" s="50"/>
      <c r="V7" s="19"/>
      <c r="W7" s="19"/>
      <c r="X7" s="19"/>
    </row>
    <row r="8" spans="1:24" s="63" customFormat="1" ht="43.5">
      <c r="A8" s="64" t="s">
        <v>142</v>
      </c>
      <c r="B8" s="59"/>
      <c r="C8" s="59"/>
      <c r="D8" s="60"/>
      <c r="E8" s="60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2"/>
      <c r="W8" s="62"/>
      <c r="X8" s="62"/>
    </row>
    <row r="9" spans="1:24" s="22" customFormat="1" ht="27.75">
      <c r="A9" s="9" t="str">
        <f>เป้าหมาย!A6</f>
        <v xml:space="preserve">ตัวบ่งชี้ที่ 1.1 กระบวนการพัฒนาแผน  </v>
      </c>
      <c r="B9" s="54" t="e">
        <f>เป้าหมาย!#REF!</f>
        <v>#REF!</v>
      </c>
      <c r="C9" s="54">
        <v>1</v>
      </c>
      <c r="D9" s="39">
        <f>'ป1-สนอ.'!F16</f>
        <v>4</v>
      </c>
      <c r="E9" s="39">
        <f>'ป1-สนอ.'!F16</f>
        <v>4</v>
      </c>
      <c r="F9" s="15"/>
      <c r="G9" s="15">
        <f>D9</f>
        <v>4</v>
      </c>
      <c r="H9" s="15"/>
      <c r="I9" s="38">
        <f t="shared" ref="I9:I19" si="0">SUM(F9:H9)</f>
        <v>4</v>
      </c>
      <c r="J9" s="15"/>
      <c r="K9" s="15">
        <f>E9</f>
        <v>4</v>
      </c>
      <c r="L9" s="15"/>
      <c r="M9" s="38">
        <f t="shared" ref="M9:M19" si="1">SUM(J9:L9)</f>
        <v>4</v>
      </c>
      <c r="N9" s="48"/>
      <c r="O9" s="48">
        <v>1</v>
      </c>
      <c r="P9" s="48"/>
      <c r="Q9" s="46">
        <f t="shared" ref="Q9:Q19" si="2">SUM(N9:P9)</f>
        <v>1</v>
      </c>
      <c r="R9" s="48"/>
      <c r="S9" s="48">
        <v>1</v>
      </c>
      <c r="T9" s="48"/>
      <c r="U9" s="46">
        <f t="shared" ref="U9:U19" si="3">SUM(R9:T9)</f>
        <v>1</v>
      </c>
      <c r="V9" s="21"/>
      <c r="W9" s="21"/>
      <c r="X9" s="21"/>
    </row>
    <row r="10" spans="1:24" ht="65.25">
      <c r="A10" s="9" t="str">
        <f>เป้าหมาย!A23</f>
        <v>ตัวบ่งชี้ที่ 7.1  ภาวะผู้นำของสภามหาวิทยาลัย/คณะกรรมการบริหารฯ และผู้บริหารทุกระดับของมหาวิทยาลัย/หน่วยงาน</v>
      </c>
      <c r="B10" s="57">
        <v>1</v>
      </c>
      <c r="C10" s="57">
        <v>1</v>
      </c>
      <c r="D10" s="15">
        <f>'ป1-สนอ.'!F40</f>
        <v>3</v>
      </c>
      <c r="E10" s="15">
        <f>D10</f>
        <v>3</v>
      </c>
      <c r="F10" s="15"/>
      <c r="G10" s="15">
        <f>D10</f>
        <v>3</v>
      </c>
      <c r="H10" s="15"/>
      <c r="I10" s="38">
        <f t="shared" si="0"/>
        <v>3</v>
      </c>
      <c r="J10" s="15"/>
      <c r="K10" s="15">
        <f>E10</f>
        <v>3</v>
      </c>
      <c r="L10" s="15"/>
      <c r="M10" s="38">
        <f t="shared" si="1"/>
        <v>3</v>
      </c>
      <c r="N10" s="51"/>
      <c r="O10" s="51">
        <v>1</v>
      </c>
      <c r="P10" s="51"/>
      <c r="Q10" s="46">
        <f t="shared" si="2"/>
        <v>1</v>
      </c>
      <c r="R10" s="51"/>
      <c r="S10" s="51">
        <v>1</v>
      </c>
      <c r="T10" s="51"/>
      <c r="U10" s="46">
        <f t="shared" si="3"/>
        <v>1</v>
      </c>
      <c r="V10" s="2"/>
      <c r="W10" s="2"/>
      <c r="X10" s="2"/>
    </row>
    <row r="11" spans="1:24" ht="43.5">
      <c r="A11" s="9" t="str">
        <f>เป้าหมาย!A25</f>
        <v>ตัวบ่งชี้ที่ 7.3 ระบบสารสนเทศเพื่อการบริหารและการตัดสินใจ</v>
      </c>
      <c r="B11" s="57">
        <v>1</v>
      </c>
      <c r="C11" s="57">
        <v>1</v>
      </c>
      <c r="D11" s="44">
        <f>'ป1-สนอ.'!F44</f>
        <v>5</v>
      </c>
      <c r="E11" s="15">
        <f>D11</f>
        <v>5</v>
      </c>
      <c r="F11" s="15"/>
      <c r="G11" s="15">
        <f>D11</f>
        <v>5</v>
      </c>
      <c r="H11" s="15"/>
      <c r="I11" s="38">
        <f t="shared" si="0"/>
        <v>5</v>
      </c>
      <c r="J11" s="15"/>
      <c r="K11" s="15">
        <f>E11</f>
        <v>5</v>
      </c>
      <c r="L11" s="15"/>
      <c r="M11" s="38">
        <f t="shared" si="1"/>
        <v>5</v>
      </c>
      <c r="N11" s="51"/>
      <c r="O11" s="51">
        <v>1</v>
      </c>
      <c r="P11" s="51"/>
      <c r="Q11" s="46">
        <f t="shared" si="2"/>
        <v>1</v>
      </c>
      <c r="R11" s="51"/>
      <c r="S11" s="51">
        <v>1</v>
      </c>
      <c r="T11" s="51"/>
      <c r="U11" s="46">
        <f t="shared" si="3"/>
        <v>1</v>
      </c>
      <c r="V11" s="2"/>
      <c r="W11" s="2"/>
      <c r="X11" s="2"/>
    </row>
    <row r="12" spans="1:24" ht="27.75">
      <c r="A12" s="9" t="str">
        <f>เป้าหมาย!A26</f>
        <v>ตัวบ่งชี้ที่ 7.4 ระบบบริหารความเสี่ยง</v>
      </c>
      <c r="B12" s="57">
        <v>1</v>
      </c>
      <c r="C12" s="57">
        <v>1</v>
      </c>
      <c r="D12" s="44">
        <f>'ป1-สนอ.'!F46</f>
        <v>5</v>
      </c>
      <c r="E12" s="15">
        <f>D12</f>
        <v>5</v>
      </c>
      <c r="F12" s="15"/>
      <c r="G12" s="15">
        <f>D12</f>
        <v>5</v>
      </c>
      <c r="H12" s="15"/>
      <c r="I12" s="38">
        <f t="shared" si="0"/>
        <v>5</v>
      </c>
      <c r="J12" s="15"/>
      <c r="K12" s="15">
        <f>E12</f>
        <v>5</v>
      </c>
      <c r="L12" s="15"/>
      <c r="M12" s="38">
        <f t="shared" si="1"/>
        <v>5</v>
      </c>
      <c r="N12" s="51"/>
      <c r="O12" s="51">
        <v>1</v>
      </c>
      <c r="P12" s="51"/>
      <c r="Q12" s="46">
        <f t="shared" si="2"/>
        <v>1</v>
      </c>
      <c r="R12" s="51"/>
      <c r="S12" s="51">
        <v>1</v>
      </c>
      <c r="T12" s="51"/>
      <c r="U12" s="46">
        <f t="shared" si="3"/>
        <v>1</v>
      </c>
      <c r="V12" s="2"/>
      <c r="W12" s="2"/>
      <c r="X12" s="2"/>
    </row>
    <row r="13" spans="1:24" ht="27.75" hidden="1">
      <c r="A13" s="9" t="str">
        <f>เป้าหมาย!A28</f>
        <v>ตัวบ่งชี้ที่ 7.6 ตัวบ่งชี้ตามภารกิจ (สนอ.)</v>
      </c>
      <c r="B13" s="57"/>
      <c r="C13" s="57"/>
      <c r="D13" s="44"/>
      <c r="E13" s="15"/>
      <c r="F13" s="15"/>
      <c r="G13" s="15"/>
      <c r="H13" s="15"/>
      <c r="I13" s="38">
        <f t="shared" si="0"/>
        <v>0</v>
      </c>
      <c r="J13" s="15"/>
      <c r="K13" s="15"/>
      <c r="L13" s="15"/>
      <c r="M13" s="38">
        <f t="shared" si="1"/>
        <v>0</v>
      </c>
      <c r="N13" s="51"/>
      <c r="O13" s="51"/>
      <c r="P13" s="51"/>
      <c r="Q13" s="46">
        <f t="shared" si="2"/>
        <v>0</v>
      </c>
      <c r="R13" s="51"/>
      <c r="S13" s="51"/>
      <c r="T13" s="51"/>
      <c r="U13" s="46">
        <f t="shared" si="3"/>
        <v>0</v>
      </c>
      <c r="V13" s="2"/>
      <c r="W13" s="2"/>
      <c r="X13" s="2"/>
    </row>
    <row r="14" spans="1:24" ht="27.75" hidden="1">
      <c r="A14" s="9" t="e">
        <f>เป้าหมาย!#REF!</f>
        <v>#REF!</v>
      </c>
      <c r="B14" s="57"/>
      <c r="C14" s="57"/>
      <c r="D14" s="44"/>
      <c r="E14" s="15"/>
      <c r="F14" s="15"/>
      <c r="G14" s="15"/>
      <c r="H14" s="15"/>
      <c r="I14" s="38">
        <f t="shared" si="0"/>
        <v>0</v>
      </c>
      <c r="J14" s="15"/>
      <c r="K14" s="15"/>
      <c r="L14" s="15"/>
      <c r="M14" s="38">
        <f t="shared" si="1"/>
        <v>0</v>
      </c>
      <c r="N14" s="51"/>
      <c r="O14" s="51"/>
      <c r="P14" s="51"/>
      <c r="Q14" s="46">
        <f t="shared" si="2"/>
        <v>0</v>
      </c>
      <c r="R14" s="51"/>
      <c r="S14" s="51"/>
      <c r="T14" s="51"/>
      <c r="U14" s="46">
        <f t="shared" si="3"/>
        <v>0</v>
      </c>
      <c r="V14" s="2"/>
      <c r="W14" s="2"/>
      <c r="X14" s="2"/>
    </row>
    <row r="15" spans="1:24" ht="43.5">
      <c r="A15" s="9" t="str">
        <f>เป้าหมาย!A27</f>
        <v>ตัวบ่งชี้ 7.5.2 การปฏิบัติตามบทบาทหน้าที่ของผู้บริหารสถาบัน</v>
      </c>
      <c r="B15" s="57"/>
      <c r="C15" s="57">
        <v>1</v>
      </c>
      <c r="D15" s="44"/>
      <c r="E15" s="15">
        <f>'ป1-สนอ.'!F50</f>
        <v>3.91</v>
      </c>
      <c r="F15" s="15"/>
      <c r="G15" s="15"/>
      <c r="H15" s="15"/>
      <c r="I15" s="38">
        <f t="shared" si="0"/>
        <v>0</v>
      </c>
      <c r="J15" s="15"/>
      <c r="K15" s="15"/>
      <c r="L15" s="15">
        <f>E15</f>
        <v>3.91</v>
      </c>
      <c r="M15" s="38">
        <f t="shared" si="1"/>
        <v>3.91</v>
      </c>
      <c r="N15" s="51"/>
      <c r="O15" s="51"/>
      <c r="P15" s="51"/>
      <c r="Q15" s="46">
        <f t="shared" si="2"/>
        <v>0</v>
      </c>
      <c r="R15" s="51"/>
      <c r="S15" s="51"/>
      <c r="T15" s="51">
        <v>1</v>
      </c>
      <c r="U15" s="46">
        <f t="shared" si="3"/>
        <v>1</v>
      </c>
      <c r="V15" s="2"/>
      <c r="W15" s="2"/>
      <c r="X15" s="2"/>
    </row>
    <row r="16" spans="1:24" ht="27.75">
      <c r="A16" s="238" t="str">
        <f>+เป้าหมาย!A29</f>
        <v>ตัวบ่งชี้ 7.6.1 ระบบพัฒนาบุคลากร</v>
      </c>
      <c r="B16" s="57"/>
      <c r="C16" s="79">
        <v>1</v>
      </c>
      <c r="D16" s="44"/>
      <c r="E16" s="15">
        <f>+'ป1-สนอ.'!F51</f>
        <v>5</v>
      </c>
      <c r="F16" s="15"/>
      <c r="G16" s="15"/>
      <c r="H16" s="15"/>
      <c r="I16" s="38"/>
      <c r="J16" s="15"/>
      <c r="K16" s="15">
        <f>E16</f>
        <v>5</v>
      </c>
      <c r="L16" s="15"/>
      <c r="M16" s="38">
        <f t="shared" ref="M16:M18" si="4">SUM(J16:L16)</f>
        <v>5</v>
      </c>
      <c r="N16" s="51"/>
      <c r="O16" s="51"/>
      <c r="P16" s="51"/>
      <c r="Q16" s="46"/>
      <c r="R16" s="51"/>
      <c r="S16" s="51">
        <v>1</v>
      </c>
      <c r="T16" s="51"/>
      <c r="U16" s="46">
        <f t="shared" ref="U16:U18" si="5">SUM(R16:T16)</f>
        <v>1</v>
      </c>
      <c r="V16" s="2"/>
      <c r="W16" s="2"/>
      <c r="X16" s="2"/>
    </row>
    <row r="17" spans="1:24" ht="65.25">
      <c r="A17" s="238" t="str">
        <f>+เป้าหมาย!A30</f>
        <v>ตัวบ่งชี้ 7.6.2 ระดับความพึงพอใจของบุคลากรทุกระดับต่อกระบวนการพัฒนาความรู้และทักษะของสำนักงานอธิการบดี</v>
      </c>
      <c r="B17" s="57"/>
      <c r="C17" s="79">
        <v>1</v>
      </c>
      <c r="D17" s="44"/>
      <c r="E17" s="15">
        <f>+'ป1-สนอ.'!F53</f>
        <v>4</v>
      </c>
      <c r="F17" s="15"/>
      <c r="G17" s="15"/>
      <c r="H17" s="15"/>
      <c r="I17" s="38"/>
      <c r="J17" s="15"/>
      <c r="K17" s="15"/>
      <c r="L17" s="15">
        <f t="shared" ref="L17:L18" si="6">E17</f>
        <v>4</v>
      </c>
      <c r="M17" s="38">
        <f t="shared" si="4"/>
        <v>4</v>
      </c>
      <c r="N17" s="51"/>
      <c r="O17" s="51"/>
      <c r="P17" s="51"/>
      <c r="Q17" s="46">
        <f t="shared" ref="Q17:Q18" si="7">SUM(N17:P17)</f>
        <v>0</v>
      </c>
      <c r="R17" s="51"/>
      <c r="S17" s="51"/>
      <c r="T17" s="51">
        <v>1</v>
      </c>
      <c r="U17" s="46">
        <f t="shared" si="5"/>
        <v>1</v>
      </c>
      <c r="V17" s="2"/>
      <c r="W17" s="2"/>
      <c r="X17" s="2"/>
    </row>
    <row r="18" spans="1:24" ht="43.5">
      <c r="A18" s="238" t="str">
        <f>+เป้าหมาย!A31</f>
        <v>ตัวบ่งชี้ที่ 7.6.3 ร้อยละของบุคลากรที่ได้รับการพัฒนาความรู้และทักษะ</v>
      </c>
      <c r="B18" s="57"/>
      <c r="C18" s="79">
        <v>1</v>
      </c>
      <c r="D18" s="44"/>
      <c r="E18" s="15">
        <f>+'ป1-สนอ.'!F56</f>
        <v>5</v>
      </c>
      <c r="F18" s="15"/>
      <c r="G18" s="15"/>
      <c r="H18" s="15"/>
      <c r="I18" s="38"/>
      <c r="J18" s="15"/>
      <c r="K18" s="15"/>
      <c r="L18" s="15">
        <f t="shared" si="6"/>
        <v>5</v>
      </c>
      <c r="M18" s="38">
        <f t="shared" si="4"/>
        <v>5</v>
      </c>
      <c r="N18" s="51"/>
      <c r="O18" s="51"/>
      <c r="P18" s="51"/>
      <c r="Q18" s="46">
        <f t="shared" si="7"/>
        <v>0</v>
      </c>
      <c r="R18" s="51"/>
      <c r="S18" s="51"/>
      <c r="T18" s="51">
        <v>1</v>
      </c>
      <c r="U18" s="46">
        <f t="shared" si="5"/>
        <v>1</v>
      </c>
      <c r="V18" s="2"/>
      <c r="W18" s="2"/>
      <c r="X18" s="2"/>
    </row>
    <row r="19" spans="1:24" ht="27.75">
      <c r="A19" s="9" t="str">
        <f>เป้าหมาย!A45</f>
        <v>ตัวบ่งชี้ที่ 8.1 ระบบและกลไกการเงินและงบประมาณ</v>
      </c>
      <c r="B19" s="57">
        <v>1</v>
      </c>
      <c r="C19" s="57">
        <v>1</v>
      </c>
      <c r="D19" s="44">
        <f>'ป1-สนอ.'!F60</f>
        <v>2</v>
      </c>
      <c r="E19" s="15">
        <f>D19</f>
        <v>2</v>
      </c>
      <c r="F19" s="15"/>
      <c r="G19" s="15">
        <f>D19</f>
        <v>2</v>
      </c>
      <c r="H19" s="15"/>
      <c r="I19" s="38">
        <f t="shared" si="0"/>
        <v>2</v>
      </c>
      <c r="J19" s="15"/>
      <c r="K19" s="15">
        <f>E19</f>
        <v>2</v>
      </c>
      <c r="L19" s="15"/>
      <c r="M19" s="38">
        <f t="shared" si="1"/>
        <v>2</v>
      </c>
      <c r="N19" s="51"/>
      <c r="O19" s="51">
        <v>1</v>
      </c>
      <c r="P19" s="51"/>
      <c r="Q19" s="46">
        <f t="shared" si="2"/>
        <v>1</v>
      </c>
      <c r="R19" s="51"/>
      <c r="S19" s="51">
        <v>1</v>
      </c>
      <c r="T19" s="51"/>
      <c r="U19" s="46">
        <f t="shared" si="3"/>
        <v>1</v>
      </c>
      <c r="V19" s="2"/>
      <c r="W19" s="2"/>
      <c r="X19" s="2"/>
    </row>
    <row r="20" spans="1:24" ht="43.5">
      <c r="A20" s="9" t="str">
        <f>เป้าหมาย!A47</f>
        <v>ตัวบ่งชี้ที่ 9.1 ระบบและกลไกการประกันคุณภาพการศึกษาภายใน</v>
      </c>
      <c r="B20" s="57">
        <v>1</v>
      </c>
      <c r="C20" s="57">
        <v>1</v>
      </c>
      <c r="D20" s="44">
        <f>'ป1-สนอ.'!F64</f>
        <v>4</v>
      </c>
      <c r="E20" s="15">
        <f>D20</f>
        <v>4</v>
      </c>
      <c r="F20" s="15"/>
      <c r="G20" s="15">
        <f>D20</f>
        <v>4</v>
      </c>
      <c r="H20" s="15"/>
      <c r="I20" s="38">
        <f>SUM(F20:H20)</f>
        <v>4</v>
      </c>
      <c r="J20" s="15"/>
      <c r="K20" s="15">
        <f>E20</f>
        <v>4</v>
      </c>
      <c r="L20" s="15"/>
      <c r="M20" s="38">
        <f>SUM(J20:L20)</f>
        <v>4</v>
      </c>
      <c r="N20" s="51"/>
      <c r="O20" s="51">
        <v>1</v>
      </c>
      <c r="P20" s="51"/>
      <c r="Q20" s="46">
        <f>SUM(N20:P20)</f>
        <v>1</v>
      </c>
      <c r="R20" s="51"/>
      <c r="S20" s="51">
        <v>1</v>
      </c>
      <c r="T20" s="51"/>
      <c r="U20" s="46">
        <f>SUM(R20:T20)</f>
        <v>1</v>
      </c>
      <c r="V20" s="2"/>
      <c r="W20" s="2"/>
      <c r="X20" s="2"/>
    </row>
    <row r="21" spans="1:24" s="25" customFormat="1" ht="27.75">
      <c r="A21" s="10" t="s">
        <v>128</v>
      </c>
      <c r="B21" s="55" t="e">
        <f>SUM(B9:B20)</f>
        <v>#REF!</v>
      </c>
      <c r="C21" s="55">
        <f>SUM(C9:C20)</f>
        <v>10</v>
      </c>
      <c r="D21" s="41" t="e">
        <f>SUM(D9:D20)/B21</f>
        <v>#REF!</v>
      </c>
      <c r="E21" s="41">
        <f>SUM(E9:E20)/C21</f>
        <v>4.0909999999999993</v>
      </c>
      <c r="F21" s="23" t="e">
        <f t="shared" ref="F21:M21" si="8">SUM(F9:F20)/N21</f>
        <v>#DIV/0!</v>
      </c>
      <c r="G21" s="23">
        <f t="shared" si="8"/>
        <v>3.8333333333333335</v>
      </c>
      <c r="H21" s="23" t="e">
        <f t="shared" si="8"/>
        <v>#DIV/0!</v>
      </c>
      <c r="I21" s="23">
        <f t="shared" si="8"/>
        <v>3.8333333333333335</v>
      </c>
      <c r="J21" s="23" t="e">
        <f t="shared" si="8"/>
        <v>#DIV/0!</v>
      </c>
      <c r="K21" s="23">
        <f t="shared" si="8"/>
        <v>4</v>
      </c>
      <c r="L21" s="23">
        <f t="shared" si="8"/>
        <v>4.3033333333333337</v>
      </c>
      <c r="M21" s="23">
        <f t="shared" si="8"/>
        <v>4.0909999999999993</v>
      </c>
      <c r="N21" s="49">
        <f t="shared" ref="N21:U21" si="9">SUM(N9:N20)</f>
        <v>0</v>
      </c>
      <c r="O21" s="49">
        <f t="shared" si="9"/>
        <v>6</v>
      </c>
      <c r="P21" s="49">
        <f t="shared" si="9"/>
        <v>0</v>
      </c>
      <c r="Q21" s="49">
        <f t="shared" si="9"/>
        <v>6</v>
      </c>
      <c r="R21" s="49">
        <f t="shared" si="9"/>
        <v>0</v>
      </c>
      <c r="S21" s="49">
        <f t="shared" si="9"/>
        <v>7</v>
      </c>
      <c r="T21" s="49">
        <f t="shared" si="9"/>
        <v>3</v>
      </c>
      <c r="U21" s="49">
        <f t="shared" si="9"/>
        <v>10</v>
      </c>
      <c r="V21" s="24"/>
      <c r="W21" s="24"/>
      <c r="X21" s="24"/>
    </row>
    <row r="22" spans="1:24" s="63" customFormat="1" ht="43.5">
      <c r="A22" s="64" t="s">
        <v>145</v>
      </c>
      <c r="B22" s="59"/>
      <c r="C22" s="59"/>
      <c r="D22" s="60"/>
      <c r="E22" s="60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2"/>
      <c r="W22" s="62"/>
      <c r="X22" s="62"/>
    </row>
    <row r="23" spans="1:24" s="209" customFormat="1" ht="43.5">
      <c r="A23" s="237" t="str">
        <f>เป้าหมาย!A8</f>
        <v>ตัวบ่งชี้ที่ 1.2.1  ระดับความพึงพอใจของผู้รับบริการต่อการให้บริการของสำนักงานอธิการบดี</v>
      </c>
      <c r="B23" s="205"/>
      <c r="C23" s="206">
        <v>1</v>
      </c>
      <c r="D23" s="207"/>
      <c r="E23" s="346">
        <f>+'ป1-สนอ.'!F19</f>
        <v>4</v>
      </c>
      <c r="F23" s="190"/>
      <c r="G23" s="190"/>
      <c r="H23" s="190"/>
      <c r="I23" s="191">
        <f>SUM(F23:H23)</f>
        <v>0</v>
      </c>
      <c r="J23" s="190"/>
      <c r="K23" s="190"/>
      <c r="L23" s="190">
        <f>+E23</f>
        <v>4</v>
      </c>
      <c r="M23" s="191">
        <f>SUM(J23:L23)</f>
        <v>4</v>
      </c>
      <c r="N23" s="192"/>
      <c r="O23" s="192"/>
      <c r="P23" s="192"/>
      <c r="Q23" s="193">
        <f>SUM(N23:P23)</f>
        <v>0</v>
      </c>
      <c r="R23" s="192"/>
      <c r="S23" s="192"/>
      <c r="T23" s="192">
        <v>1</v>
      </c>
      <c r="U23" s="193">
        <f>SUM(R23:T23)</f>
        <v>1</v>
      </c>
      <c r="V23" s="208"/>
      <c r="W23" s="208"/>
      <c r="X23" s="208"/>
    </row>
    <row r="24" spans="1:24" s="209" customFormat="1" ht="43.5">
      <c r="A24" s="237" t="str">
        <f>เป้าหมาย!A9</f>
        <v>ตัวบ่งชี้ที่ 1.2.2 ร้อยละเฉลี่ยของบุคลากรที่เข้าร่วมกิจกรรมสาธารณประโยชน์ที่สำนักงานอธิการบดีจัดขึ้น</v>
      </c>
      <c r="B24" s="205"/>
      <c r="C24" s="206">
        <v>1</v>
      </c>
      <c r="D24" s="207"/>
      <c r="E24" s="346">
        <f>+'ป1-สนอ.'!F21</f>
        <v>5</v>
      </c>
      <c r="F24" s="190"/>
      <c r="G24" s="190"/>
      <c r="H24" s="190"/>
      <c r="I24" s="191">
        <f>SUM(F24:H24)</f>
        <v>0</v>
      </c>
      <c r="J24" s="190"/>
      <c r="K24" s="190"/>
      <c r="L24" s="190">
        <f t="shared" ref="L24:L25" si="10">+E24</f>
        <v>5</v>
      </c>
      <c r="M24" s="191">
        <f>SUM(J24:L24)</f>
        <v>5</v>
      </c>
      <c r="N24" s="192"/>
      <c r="O24" s="192"/>
      <c r="P24" s="192"/>
      <c r="Q24" s="193">
        <f>SUM(N24:P24)</f>
        <v>0</v>
      </c>
      <c r="R24" s="192"/>
      <c r="S24" s="192"/>
      <c r="T24" s="192">
        <v>1</v>
      </c>
      <c r="U24" s="193">
        <f>SUM(R24:T24)</f>
        <v>1</v>
      </c>
      <c r="V24" s="208"/>
      <c r="W24" s="208"/>
      <c r="X24" s="208"/>
    </row>
    <row r="25" spans="1:24" s="209" customFormat="1" ht="65.25">
      <c r="A25" s="237" t="str">
        <f>เป้าหมาย!A10</f>
        <v>ตัวบ่งชี้ที่ 1.2.3 จำนวนหน่วยงานของสำนักงานอธิการบดีที่ได้มีการแลกเปลี่ยนเรียนรู้ร่วมกับหน่วยงานอื่น</v>
      </c>
      <c r="B25" s="205"/>
      <c r="C25" s="206">
        <v>1</v>
      </c>
      <c r="D25" s="207"/>
      <c r="E25" s="368">
        <f>+'ป1-สนอ.'!F24</f>
        <v>5</v>
      </c>
      <c r="F25" s="190"/>
      <c r="G25" s="190"/>
      <c r="H25" s="190"/>
      <c r="I25" s="191">
        <f>SUM(F25:H25)</f>
        <v>0</v>
      </c>
      <c r="J25" s="190"/>
      <c r="K25" s="190"/>
      <c r="L25" s="190">
        <f t="shared" si="10"/>
        <v>5</v>
      </c>
      <c r="M25" s="191">
        <f>SUM(J25:L25)</f>
        <v>5</v>
      </c>
      <c r="N25" s="192"/>
      <c r="O25" s="192"/>
      <c r="P25" s="192"/>
      <c r="Q25" s="193">
        <f>SUM(N25:P25)</f>
        <v>0</v>
      </c>
      <c r="R25" s="192"/>
      <c r="S25" s="192"/>
      <c r="T25" s="192">
        <v>1</v>
      </c>
      <c r="U25" s="193">
        <f>SUM(R25:T25)</f>
        <v>1</v>
      </c>
      <c r="V25" s="208"/>
      <c r="W25" s="208"/>
      <c r="X25" s="208"/>
    </row>
    <row r="26" spans="1:24" s="25" customFormat="1" ht="27.75">
      <c r="A26" s="10" t="s">
        <v>128</v>
      </c>
      <c r="B26" s="55">
        <f>SUM(B23:B25)</f>
        <v>0</v>
      </c>
      <c r="C26" s="55">
        <f>SUM(C23:C25)</f>
        <v>3</v>
      </c>
      <c r="D26" s="41" t="e">
        <f>SUM(D23:D25)/B26</f>
        <v>#DIV/0!</v>
      </c>
      <c r="E26" s="41">
        <f>SUM(E23:E25)/C26</f>
        <v>4.666666666666667</v>
      </c>
      <c r="F26" s="23" t="e">
        <f t="shared" ref="F26:M26" si="11">SUM(F23:F25)/N26</f>
        <v>#DIV/0!</v>
      </c>
      <c r="G26" s="23" t="e">
        <f t="shared" si="11"/>
        <v>#DIV/0!</v>
      </c>
      <c r="H26" s="23" t="e">
        <f t="shared" si="11"/>
        <v>#DIV/0!</v>
      </c>
      <c r="I26" s="23" t="e">
        <f t="shared" si="11"/>
        <v>#DIV/0!</v>
      </c>
      <c r="J26" s="23" t="e">
        <f t="shared" si="11"/>
        <v>#DIV/0!</v>
      </c>
      <c r="K26" s="23" t="e">
        <f t="shared" si="11"/>
        <v>#DIV/0!</v>
      </c>
      <c r="L26" s="23">
        <f t="shared" si="11"/>
        <v>4.666666666666667</v>
      </c>
      <c r="M26" s="23">
        <f t="shared" si="11"/>
        <v>4.666666666666667</v>
      </c>
      <c r="N26" s="49">
        <f t="shared" ref="N26:U26" si="12">SUM(N23:N25)</f>
        <v>0</v>
      </c>
      <c r="O26" s="49">
        <f t="shared" si="12"/>
        <v>0</v>
      </c>
      <c r="P26" s="49">
        <f t="shared" si="12"/>
        <v>0</v>
      </c>
      <c r="Q26" s="49">
        <f t="shared" si="12"/>
        <v>0</v>
      </c>
      <c r="R26" s="49">
        <f t="shared" si="12"/>
        <v>0</v>
      </c>
      <c r="S26" s="49">
        <f t="shared" si="12"/>
        <v>0</v>
      </c>
      <c r="T26" s="49">
        <f t="shared" si="12"/>
        <v>3</v>
      </c>
      <c r="U26" s="49">
        <f t="shared" si="12"/>
        <v>3</v>
      </c>
      <c r="V26" s="24"/>
      <c r="W26" s="24"/>
      <c r="X26" s="24"/>
    </row>
    <row r="27" spans="1:24" s="28" customFormat="1" ht="43.5">
      <c r="A27" s="7" t="s">
        <v>146</v>
      </c>
      <c r="B27" s="58"/>
      <c r="C27" s="58"/>
      <c r="D27" s="45"/>
      <c r="E27" s="26"/>
      <c r="F27" s="26"/>
      <c r="G27" s="26"/>
      <c r="H27" s="26"/>
      <c r="I27" s="26"/>
      <c r="J27" s="26"/>
      <c r="K27" s="26"/>
      <c r="L27" s="26"/>
      <c r="M27" s="45"/>
      <c r="N27" s="52"/>
      <c r="O27" s="52"/>
      <c r="P27" s="52"/>
      <c r="Q27" s="52"/>
      <c r="R27" s="52"/>
      <c r="S27" s="52"/>
      <c r="T27" s="52"/>
      <c r="U27" s="52"/>
      <c r="V27" s="27"/>
      <c r="W27" s="27"/>
      <c r="X27" s="27"/>
    </row>
    <row r="28" spans="1:24" ht="43.5">
      <c r="A28" s="9" t="str">
        <f>เป้าหมาย!A24</f>
        <v>ตัวบ่งชี้ที่ 7.2 การพัฒนามหาวิทยาลัย/หน่วยงานสู่มหาวิทยาลัย/หน่วยงานเรียนรู้</v>
      </c>
      <c r="B28" s="57">
        <v>1</v>
      </c>
      <c r="C28" s="57">
        <v>1</v>
      </c>
      <c r="D28" s="44">
        <f>'ป1-สนอ.'!F42</f>
        <v>5</v>
      </c>
      <c r="E28" s="15">
        <f>D28</f>
        <v>5</v>
      </c>
      <c r="F28" s="15"/>
      <c r="G28" s="15">
        <f>D28</f>
        <v>5</v>
      </c>
      <c r="H28" s="15"/>
      <c r="I28" s="38">
        <f t="shared" ref="I28" si="13">SUM(F28:H28)</f>
        <v>5</v>
      </c>
      <c r="J28" s="15"/>
      <c r="K28" s="15">
        <f>E28</f>
        <v>5</v>
      </c>
      <c r="L28" s="15"/>
      <c r="M28" s="38">
        <f t="shared" ref="M28" si="14">SUM(J28:L28)</f>
        <v>5</v>
      </c>
      <c r="N28" s="51"/>
      <c r="O28" s="51">
        <v>1</v>
      </c>
      <c r="P28" s="51"/>
      <c r="Q28" s="46">
        <f t="shared" ref="Q28" si="15">SUM(N28:P28)</f>
        <v>1</v>
      </c>
      <c r="R28" s="51"/>
      <c r="S28" s="51">
        <v>1</v>
      </c>
      <c r="T28" s="51"/>
      <c r="U28" s="46">
        <f t="shared" ref="U28" si="16">SUM(R28:T28)</f>
        <v>1</v>
      </c>
      <c r="V28" s="2"/>
      <c r="W28" s="2"/>
      <c r="X28" s="2"/>
    </row>
    <row r="29" spans="1:24" s="25" customFormat="1" ht="27.75">
      <c r="A29" s="10" t="s">
        <v>128</v>
      </c>
      <c r="B29" s="55">
        <f>SUM(B28:B28)</f>
        <v>1</v>
      </c>
      <c r="C29" s="55">
        <f>SUM(C28:C28)</f>
        <v>1</v>
      </c>
      <c r="D29" s="41">
        <f>SUM(D28:D28)/B29</f>
        <v>5</v>
      </c>
      <c r="E29" s="41">
        <f>SUM(E28:E28)/C29</f>
        <v>5</v>
      </c>
      <c r="F29" s="23" t="e">
        <f t="shared" ref="F29:M29" si="17">SUM(F28:F28)/N29</f>
        <v>#DIV/0!</v>
      </c>
      <c r="G29" s="23">
        <f t="shared" si="17"/>
        <v>5</v>
      </c>
      <c r="H29" s="23" t="e">
        <f t="shared" si="17"/>
        <v>#DIV/0!</v>
      </c>
      <c r="I29" s="23">
        <f t="shared" si="17"/>
        <v>5</v>
      </c>
      <c r="J29" s="23" t="e">
        <f t="shared" si="17"/>
        <v>#DIV/0!</v>
      </c>
      <c r="K29" s="23">
        <f t="shared" si="17"/>
        <v>5</v>
      </c>
      <c r="L29" s="23" t="e">
        <f t="shared" si="17"/>
        <v>#DIV/0!</v>
      </c>
      <c r="M29" s="23">
        <f t="shared" si="17"/>
        <v>5</v>
      </c>
      <c r="N29" s="49">
        <f t="shared" ref="N29:U29" si="18">SUM(N28:N28)</f>
        <v>0</v>
      </c>
      <c r="O29" s="49">
        <f t="shared" si="18"/>
        <v>1</v>
      </c>
      <c r="P29" s="49">
        <f t="shared" si="18"/>
        <v>0</v>
      </c>
      <c r="Q29" s="49">
        <f t="shared" si="18"/>
        <v>1</v>
      </c>
      <c r="R29" s="49">
        <f t="shared" si="18"/>
        <v>0</v>
      </c>
      <c r="S29" s="49">
        <f t="shared" si="18"/>
        <v>1</v>
      </c>
      <c r="T29" s="49">
        <f t="shared" si="18"/>
        <v>0</v>
      </c>
      <c r="U29" s="49">
        <f t="shared" si="18"/>
        <v>1</v>
      </c>
      <c r="V29" s="24"/>
      <c r="W29" s="24"/>
      <c r="X29" s="24"/>
    </row>
    <row r="30" spans="1:24" ht="27.75">
      <c r="A30" s="37" t="s">
        <v>138</v>
      </c>
      <c r="B30" s="47" t="e">
        <f>SUM(B6,B26,B29,B21)</f>
        <v>#REF!</v>
      </c>
      <c r="C30" s="47">
        <f>SUM(C6,C26,C29,C21)</f>
        <v>14</v>
      </c>
      <c r="D30" s="367" t="e">
        <f>SUM(D6,D23:D25,D28,D9:D20)/B30</f>
        <v>#REF!</v>
      </c>
      <c r="E30" s="367">
        <f>SUM(E6,E23:E25,E28,E9:E20)/C30</f>
        <v>4.2792857142857139</v>
      </c>
      <c r="F30" s="367" t="e">
        <f>SUM(F6,F23:F25,F28,F9:F20)/N30</f>
        <v>#DIV/0!</v>
      </c>
      <c r="G30" s="367">
        <f t="shared" ref="G30:M30" si="19">SUM(G6,G23:G25,G28,G9:G20)/O30</f>
        <v>4</v>
      </c>
      <c r="H30" s="367" t="e">
        <f t="shared" si="19"/>
        <v>#DIV/0!</v>
      </c>
      <c r="I30" s="367">
        <f t="shared" si="19"/>
        <v>4</v>
      </c>
      <c r="J30" s="367" t="e">
        <f t="shared" si="19"/>
        <v>#DIV/0!</v>
      </c>
      <c r="K30" s="367">
        <f t="shared" si="19"/>
        <v>4.125</v>
      </c>
      <c r="L30" s="367">
        <f t="shared" si="19"/>
        <v>4.4850000000000003</v>
      </c>
      <c r="M30" s="367">
        <f t="shared" si="19"/>
        <v>4.2792857142857139</v>
      </c>
      <c r="N30" s="53">
        <f t="shared" ref="N30:U30" si="20">SUM(N6,N26,N29,N21)</f>
        <v>0</v>
      </c>
      <c r="O30" s="53">
        <f t="shared" si="20"/>
        <v>7</v>
      </c>
      <c r="P30" s="53">
        <f t="shared" si="20"/>
        <v>0</v>
      </c>
      <c r="Q30" s="53">
        <f t="shared" si="20"/>
        <v>7</v>
      </c>
      <c r="R30" s="53">
        <f t="shared" si="20"/>
        <v>0</v>
      </c>
      <c r="S30" s="53">
        <f t="shared" si="20"/>
        <v>8</v>
      </c>
      <c r="T30" s="53">
        <f t="shared" si="20"/>
        <v>6</v>
      </c>
      <c r="U30" s="53">
        <f t="shared" si="20"/>
        <v>14</v>
      </c>
      <c r="V30" s="2"/>
      <c r="W30" s="2"/>
      <c r="X30" s="2"/>
    </row>
    <row r="31" spans="1:24">
      <c r="A31" s="1"/>
      <c r="D31" s="30"/>
      <c r="E31" s="5"/>
      <c r="F31" s="5"/>
      <c r="G31" s="5"/>
      <c r="H31" s="5"/>
      <c r="I31" s="5"/>
      <c r="J31" s="5"/>
      <c r="K31" s="5"/>
      <c r="L31" s="5"/>
    </row>
    <row r="32" spans="1:24">
      <c r="A32" s="1"/>
      <c r="D32" s="30"/>
      <c r="E32" s="31"/>
      <c r="F32" s="32"/>
      <c r="G32" s="32"/>
      <c r="H32" s="32"/>
      <c r="I32" s="32"/>
      <c r="J32" s="32"/>
      <c r="K32" s="32"/>
      <c r="L32" s="32"/>
    </row>
    <row r="33" spans="1:12">
      <c r="A33" s="1"/>
      <c r="D33" s="30"/>
      <c r="E33" s="31"/>
      <c r="F33" s="33"/>
      <c r="G33" s="32"/>
      <c r="H33" s="32"/>
      <c r="I33" s="32"/>
      <c r="J33" s="33"/>
      <c r="K33" s="32"/>
      <c r="L33" s="32"/>
    </row>
    <row r="34" spans="1:12">
      <c r="A34" s="1"/>
      <c r="D34" s="30"/>
      <c r="E34" s="31"/>
      <c r="F34" s="32"/>
      <c r="G34" s="32"/>
      <c r="H34" s="32"/>
      <c r="I34" s="32"/>
      <c r="J34" s="33"/>
      <c r="K34" s="32"/>
      <c r="L34" s="32"/>
    </row>
    <row r="35" spans="1:12">
      <c r="A35" s="1"/>
      <c r="D35" s="30"/>
      <c r="E35" s="31"/>
      <c r="F35" s="32"/>
      <c r="G35" s="32"/>
      <c r="H35" s="32"/>
      <c r="I35" s="33"/>
      <c r="J35" s="32"/>
      <c r="K35" s="32"/>
      <c r="L35" s="32"/>
    </row>
    <row r="36" spans="1:12">
      <c r="A36" s="1"/>
      <c r="D36" s="30"/>
      <c r="E36" s="31"/>
      <c r="F36" s="32"/>
      <c r="G36" s="33"/>
      <c r="H36" s="32"/>
      <c r="I36" s="32"/>
      <c r="J36" s="32"/>
      <c r="K36" s="33"/>
      <c r="L36" s="32"/>
    </row>
    <row r="37" spans="1:12">
      <c r="A37" s="1"/>
      <c r="D37" s="30"/>
      <c r="E37" s="31"/>
      <c r="F37" s="32"/>
      <c r="G37" s="32"/>
      <c r="H37" s="32"/>
      <c r="I37" s="33"/>
      <c r="J37" s="32"/>
      <c r="K37" s="32"/>
      <c r="L37" s="32"/>
    </row>
    <row r="38" spans="1:12">
      <c r="A38" s="1"/>
      <c r="D38" s="30"/>
      <c r="E38" s="31"/>
      <c r="F38" s="32"/>
      <c r="G38" s="32"/>
      <c r="H38" s="32"/>
      <c r="I38" s="32"/>
      <c r="J38" s="32"/>
      <c r="K38" s="33"/>
      <c r="L38" s="32"/>
    </row>
    <row r="39" spans="1:12">
      <c r="A39" s="1"/>
      <c r="D39" s="30"/>
      <c r="E39" s="31"/>
      <c r="F39" s="32"/>
      <c r="G39" s="33"/>
      <c r="H39" s="32"/>
      <c r="I39" s="32"/>
      <c r="J39" s="32"/>
      <c r="K39" s="33"/>
      <c r="L39" s="32"/>
    </row>
    <row r="40" spans="1:12">
      <c r="A40" s="1"/>
      <c r="D40" s="30"/>
      <c r="E40" s="5"/>
      <c r="F40" s="5"/>
      <c r="G40" s="5"/>
      <c r="H40" s="5"/>
      <c r="I40" s="5"/>
      <c r="J40" s="5"/>
      <c r="K40" s="5"/>
      <c r="L40" s="5"/>
    </row>
    <row r="41" spans="1:12">
      <c r="A41" s="1"/>
      <c r="D41" s="30"/>
      <c r="E41" s="31"/>
      <c r="F41" s="32"/>
      <c r="G41" s="32"/>
      <c r="H41" s="32"/>
      <c r="I41" s="32"/>
      <c r="J41" s="32"/>
      <c r="K41" s="32"/>
      <c r="L41" s="32"/>
    </row>
    <row r="42" spans="1:12">
      <c r="A42" s="1"/>
      <c r="D42" s="30"/>
      <c r="E42" s="31"/>
      <c r="F42" s="33"/>
      <c r="G42" s="32"/>
      <c r="H42" s="32"/>
      <c r="I42" s="32"/>
      <c r="J42" s="33"/>
      <c r="K42" s="32"/>
      <c r="L42" s="32"/>
    </row>
    <row r="43" spans="1:12">
      <c r="A43" s="1"/>
      <c r="D43" s="30"/>
      <c r="E43" s="31"/>
      <c r="F43" s="32"/>
      <c r="G43" s="32"/>
      <c r="H43" s="32"/>
      <c r="I43" s="32"/>
      <c r="J43" s="32"/>
      <c r="K43" s="32"/>
      <c r="L43" s="32"/>
    </row>
    <row r="44" spans="1:12">
      <c r="A44" s="1"/>
      <c r="D44" s="30"/>
      <c r="E44" s="31"/>
      <c r="F44" s="32"/>
      <c r="G44" s="32"/>
      <c r="H44" s="32"/>
      <c r="I44" s="32"/>
      <c r="J44" s="32"/>
      <c r="K44" s="32"/>
      <c r="L44" s="32"/>
    </row>
    <row r="45" spans="1:12">
      <c r="A45" s="1"/>
      <c r="D45" s="30"/>
      <c r="E45" s="31"/>
      <c r="F45" s="32"/>
      <c r="G45" s="32"/>
      <c r="H45" s="32"/>
      <c r="I45" s="32"/>
      <c r="J45" s="32"/>
      <c r="K45" s="32"/>
      <c r="L45" s="32"/>
    </row>
    <row r="46" spans="1:12">
      <c r="A46" s="1"/>
      <c r="D46" s="30"/>
      <c r="E46" s="5"/>
      <c r="F46" s="5"/>
      <c r="G46" s="5"/>
      <c r="H46" s="5"/>
      <c r="I46" s="1"/>
      <c r="J46" s="1"/>
      <c r="K46" s="5"/>
      <c r="L46" s="5"/>
    </row>
    <row r="47" spans="1:12">
      <c r="A47" s="1"/>
      <c r="D47" s="30"/>
      <c r="E47" s="31"/>
      <c r="F47" s="32"/>
      <c r="G47" s="32"/>
      <c r="H47" s="32"/>
      <c r="I47" s="32"/>
      <c r="J47" s="32"/>
      <c r="K47" s="32"/>
      <c r="L47" s="32"/>
    </row>
    <row r="48" spans="1:12">
      <c r="A48" s="1"/>
      <c r="D48" s="30"/>
      <c r="E48" s="31"/>
      <c r="F48" s="33"/>
      <c r="G48" s="32"/>
      <c r="H48" s="32"/>
      <c r="I48" s="32"/>
      <c r="J48" s="33"/>
      <c r="K48" s="32"/>
      <c r="L48" s="32"/>
    </row>
    <row r="49" spans="1:12">
      <c r="A49" s="1"/>
      <c r="D49" s="30"/>
      <c r="E49" s="31"/>
      <c r="F49" s="33"/>
      <c r="G49" s="32"/>
      <c r="H49" s="32"/>
      <c r="I49" s="32"/>
      <c r="J49" s="33"/>
      <c r="K49" s="32"/>
      <c r="L49" s="32"/>
    </row>
    <row r="50" spans="1:12">
      <c r="A50" s="1"/>
      <c r="D50" s="30"/>
      <c r="E50" s="31"/>
      <c r="F50" s="33"/>
      <c r="G50" s="32"/>
      <c r="H50" s="32"/>
      <c r="I50" s="32"/>
      <c r="J50" s="33"/>
      <c r="K50" s="32"/>
      <c r="L50" s="32"/>
    </row>
    <row r="51" spans="1:12">
      <c r="A51" s="1"/>
      <c r="D51" s="30"/>
      <c r="E51" s="31"/>
      <c r="F51" s="33"/>
      <c r="G51" s="32"/>
      <c r="H51" s="32"/>
      <c r="I51" s="32"/>
      <c r="J51" s="33"/>
      <c r="K51" s="32"/>
      <c r="L51" s="32"/>
    </row>
    <row r="52" spans="1:12">
      <c r="A52" s="1"/>
      <c r="D52" s="30"/>
      <c r="E52" s="31"/>
      <c r="F52" s="32"/>
      <c r="G52" s="32"/>
      <c r="H52" s="32"/>
      <c r="I52" s="33"/>
      <c r="J52" s="32"/>
      <c r="K52" s="32"/>
      <c r="L52" s="32"/>
    </row>
    <row r="53" spans="1:12">
      <c r="A53" s="1"/>
      <c r="D53" s="30"/>
      <c r="E53" s="31"/>
      <c r="F53" s="32"/>
      <c r="G53" s="32"/>
      <c r="H53" s="32"/>
      <c r="I53" s="33"/>
      <c r="J53" s="32"/>
      <c r="K53" s="32"/>
      <c r="L53" s="32"/>
    </row>
    <row r="54" spans="1:12">
      <c r="A54" s="1"/>
      <c r="D54" s="30"/>
      <c r="E54" s="31"/>
      <c r="F54" s="32"/>
      <c r="G54" s="32"/>
      <c r="H54" s="32"/>
      <c r="I54" s="33"/>
      <c r="J54" s="32"/>
      <c r="K54" s="32"/>
      <c r="L54" s="32"/>
    </row>
    <row r="55" spans="1:12">
      <c r="A55" s="1"/>
      <c r="D55" s="30"/>
      <c r="E55" s="31"/>
      <c r="F55" s="32"/>
      <c r="G55" s="32"/>
      <c r="H55" s="32"/>
      <c r="I55" s="33"/>
      <c r="J55" s="32"/>
      <c r="K55" s="32"/>
      <c r="L55" s="32"/>
    </row>
    <row r="56" spans="1:12">
      <c r="A56" s="1"/>
      <c r="D56" s="30"/>
      <c r="E56" s="31"/>
      <c r="F56" s="32"/>
      <c r="G56" s="33"/>
      <c r="H56" s="32"/>
      <c r="I56" s="32"/>
      <c r="J56" s="32"/>
      <c r="K56" s="33"/>
      <c r="L56" s="32"/>
    </row>
    <row r="57" spans="1:12">
      <c r="A57" s="1"/>
      <c r="D57" s="30"/>
      <c r="E57" s="31"/>
      <c r="F57" s="32"/>
      <c r="G57" s="33"/>
      <c r="H57" s="32"/>
      <c r="I57" s="32"/>
      <c r="J57" s="32"/>
      <c r="K57" s="33"/>
      <c r="L57" s="32"/>
    </row>
    <row r="58" spans="1:12">
      <c r="A58" s="1"/>
      <c r="D58" s="30"/>
      <c r="E58" s="31"/>
      <c r="F58" s="33"/>
      <c r="G58" s="32"/>
      <c r="H58" s="32"/>
      <c r="I58" s="32"/>
      <c r="J58" s="33"/>
      <c r="K58" s="32"/>
      <c r="L58" s="32"/>
    </row>
    <row r="59" spans="1:12">
      <c r="A59" s="1"/>
      <c r="D59" s="30"/>
      <c r="E59" s="31"/>
      <c r="F59" s="32"/>
      <c r="G59" s="33"/>
      <c r="H59" s="32"/>
      <c r="I59" s="32"/>
      <c r="J59" s="32"/>
      <c r="K59" s="33"/>
      <c r="L59" s="32"/>
    </row>
    <row r="60" spans="1:12">
      <c r="A60" s="1"/>
      <c r="D60" s="30"/>
      <c r="E60" s="34"/>
      <c r="F60" s="35"/>
      <c r="G60" s="35"/>
      <c r="H60" s="32"/>
      <c r="I60" s="35"/>
      <c r="J60" s="35"/>
      <c r="K60" s="33"/>
      <c r="L60" s="32"/>
    </row>
    <row r="61" spans="1:12">
      <c r="A61" s="1"/>
      <c r="D61" s="30"/>
      <c r="E61" s="31"/>
      <c r="F61" s="32"/>
      <c r="G61" s="32"/>
      <c r="H61" s="32"/>
      <c r="I61" s="32"/>
      <c r="J61" s="33"/>
      <c r="K61" s="32"/>
      <c r="L61" s="32"/>
    </row>
    <row r="62" spans="1:12">
      <c r="A62" s="1"/>
      <c r="D62" s="30"/>
      <c r="E62" s="5"/>
      <c r="F62" s="5"/>
      <c r="G62" s="5"/>
      <c r="H62" s="5"/>
      <c r="I62" s="5"/>
      <c r="J62" s="5"/>
      <c r="K62" s="5"/>
      <c r="L62" s="5"/>
    </row>
    <row r="63" spans="1:12">
      <c r="A63" s="1"/>
      <c r="D63" s="30"/>
      <c r="E63" s="31"/>
      <c r="F63" s="32"/>
      <c r="G63" s="32"/>
      <c r="H63" s="32"/>
      <c r="I63" s="32"/>
      <c r="J63" s="32"/>
      <c r="K63" s="32"/>
      <c r="L63" s="32"/>
    </row>
    <row r="64" spans="1:12">
      <c r="A64" s="1"/>
      <c r="D64" s="30"/>
      <c r="E64" s="31"/>
      <c r="F64" s="33"/>
      <c r="G64" s="32"/>
      <c r="H64" s="32"/>
      <c r="I64" s="32"/>
      <c r="J64" s="33"/>
      <c r="K64" s="32"/>
      <c r="L64" s="32"/>
    </row>
    <row r="65" spans="1:12">
      <c r="A65" s="1"/>
      <c r="D65" s="30"/>
      <c r="E65" s="31"/>
      <c r="F65" s="33"/>
      <c r="G65" s="32"/>
      <c r="H65" s="32"/>
      <c r="I65" s="32"/>
      <c r="J65" s="33"/>
      <c r="K65" s="32"/>
      <c r="L65" s="32"/>
    </row>
    <row r="66" spans="1:12">
      <c r="D66" s="30"/>
      <c r="E66" s="31"/>
      <c r="F66" s="32"/>
      <c r="G66" s="32"/>
      <c r="H66" s="32"/>
      <c r="I66" s="33"/>
      <c r="J66" s="32"/>
      <c r="K66" s="32"/>
      <c r="L66" s="32"/>
    </row>
    <row r="67" spans="1:12">
      <c r="E67" s="35"/>
      <c r="F67" s="35"/>
      <c r="G67" s="35"/>
      <c r="H67" s="32"/>
      <c r="I67" s="33"/>
      <c r="J67" s="35"/>
      <c r="K67" s="35"/>
      <c r="L67" s="32"/>
    </row>
    <row r="68" spans="1:12">
      <c r="E68" s="32"/>
      <c r="F68" s="32"/>
      <c r="G68" s="32"/>
      <c r="H68" s="32"/>
      <c r="I68" s="33"/>
      <c r="J68" s="32"/>
      <c r="K68" s="32"/>
      <c r="L68" s="32"/>
    </row>
    <row r="69" spans="1:12">
      <c r="E69" s="5"/>
      <c r="F69" s="5"/>
      <c r="G69" s="5"/>
      <c r="H69" s="5"/>
      <c r="I69" s="5"/>
      <c r="J69" s="5"/>
      <c r="K69" s="5"/>
      <c r="L69" s="5"/>
    </row>
    <row r="70" spans="1:12">
      <c r="E70" s="32"/>
      <c r="F70" s="32"/>
      <c r="G70" s="32"/>
      <c r="H70" s="32"/>
      <c r="I70" s="32"/>
      <c r="J70" s="32"/>
      <c r="K70" s="32"/>
      <c r="L70" s="32"/>
    </row>
    <row r="71" spans="1:12">
      <c r="E71" s="32"/>
      <c r="F71" s="33"/>
      <c r="G71" s="32"/>
      <c r="H71" s="32"/>
      <c r="I71" s="32"/>
      <c r="J71" s="33"/>
      <c r="K71" s="32"/>
      <c r="L71" s="32"/>
    </row>
    <row r="72" spans="1:12">
      <c r="E72" s="32"/>
      <c r="F72" s="33"/>
      <c r="G72" s="32"/>
      <c r="H72" s="32"/>
      <c r="I72" s="32"/>
      <c r="J72" s="33"/>
      <c r="K72" s="32"/>
      <c r="L72" s="32"/>
    </row>
    <row r="73" spans="1:12">
      <c r="E73" s="32"/>
      <c r="F73" s="32"/>
      <c r="G73" s="33"/>
      <c r="H73" s="32"/>
      <c r="I73" s="32"/>
      <c r="J73" s="32"/>
      <c r="K73" s="33"/>
      <c r="L73" s="32"/>
    </row>
    <row r="74" spans="1:12">
      <c r="E74" s="5"/>
      <c r="F74" s="5"/>
      <c r="G74" s="5"/>
      <c r="H74" s="5"/>
      <c r="I74" s="1"/>
      <c r="J74" s="1"/>
      <c r="K74" s="1"/>
      <c r="L74" s="5"/>
    </row>
    <row r="75" spans="1:12">
      <c r="E75" s="5"/>
      <c r="F75" s="5"/>
      <c r="G75" s="5"/>
      <c r="H75" s="6"/>
      <c r="I75" s="5"/>
      <c r="J75" s="5"/>
      <c r="K75" s="5"/>
      <c r="L75" s="6"/>
    </row>
    <row r="76" spans="1:12">
      <c r="E76" s="32"/>
      <c r="F76" s="32"/>
      <c r="G76" s="32"/>
      <c r="H76" s="32"/>
      <c r="I76" s="32"/>
      <c r="J76" s="32"/>
      <c r="K76" s="32"/>
      <c r="L76" s="32"/>
    </row>
  </sheetData>
  <mergeCells count="10">
    <mergeCell ref="R2:U3"/>
    <mergeCell ref="A2:A4"/>
    <mergeCell ref="B2:C2"/>
    <mergeCell ref="D3:E3"/>
    <mergeCell ref="B3:B4"/>
    <mergeCell ref="C3:C4"/>
    <mergeCell ref="D2:E2"/>
    <mergeCell ref="F2:I3"/>
    <mergeCell ref="J2:M3"/>
    <mergeCell ref="N2:Q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73"/>
  <sheetViews>
    <sheetView zoomScale="70" zoomScaleNormal="70" workbookViewId="0">
      <pane xSplit="3" ySplit="4" topLeftCell="D14" activePane="bottomRight" state="frozen"/>
      <selection pane="topRight" activeCell="D1" sqref="D1"/>
      <selection pane="bottomLeft" activeCell="A5" sqref="A5"/>
      <selection pane="bottomRight" activeCell="I26" sqref="I26"/>
    </sheetView>
  </sheetViews>
  <sheetFormatPr defaultRowHeight="21.75"/>
  <cols>
    <col min="1" max="1" width="35.375" style="17" customWidth="1"/>
    <col min="2" max="2" width="8.375" style="29" customWidth="1"/>
    <col min="3" max="3" width="9" style="29"/>
    <col min="4" max="4" width="9.375" style="29" bestFit="1" customWidth="1"/>
    <col min="5" max="5" width="12.875" style="36" bestFit="1" customWidth="1"/>
    <col min="6" max="12" width="9" style="36"/>
    <col min="13" max="21" width="9" style="29"/>
    <col min="22" max="16384" width="9" style="17"/>
  </cols>
  <sheetData>
    <row r="1" spans="1:24" s="2" customFormat="1" ht="27.75">
      <c r="A1" s="2" t="s">
        <v>147</v>
      </c>
      <c r="B1" s="14">
        <f>'ป1-สนอ.'!C2</f>
        <v>0</v>
      </c>
      <c r="D1" s="12"/>
      <c r="F1" s="16"/>
      <c r="G1" s="16"/>
      <c r="H1" s="16"/>
      <c r="I1" s="16"/>
      <c r="J1" s="16"/>
      <c r="K1" s="16"/>
      <c r="L1" s="16"/>
      <c r="M1" s="12"/>
      <c r="N1" s="12"/>
      <c r="O1" s="12"/>
      <c r="P1" s="12"/>
      <c r="Q1" s="12"/>
      <c r="R1" s="12"/>
      <c r="S1" s="12"/>
      <c r="T1" s="12"/>
      <c r="U1" s="12"/>
    </row>
    <row r="2" spans="1:24">
      <c r="A2" s="641" t="s">
        <v>119</v>
      </c>
      <c r="B2" s="644" t="s">
        <v>120</v>
      </c>
      <c r="C2" s="645"/>
      <c r="D2" s="646" t="s">
        <v>121</v>
      </c>
      <c r="E2" s="646"/>
      <c r="F2" s="647" t="s">
        <v>113</v>
      </c>
      <c r="G2" s="648"/>
      <c r="H2" s="648"/>
      <c r="I2" s="649"/>
      <c r="J2" s="647" t="s">
        <v>114</v>
      </c>
      <c r="K2" s="648"/>
      <c r="L2" s="648"/>
      <c r="M2" s="649"/>
      <c r="N2" s="647" t="s">
        <v>122</v>
      </c>
      <c r="O2" s="648"/>
      <c r="P2" s="648"/>
      <c r="Q2" s="649"/>
      <c r="R2" s="633" t="s">
        <v>123</v>
      </c>
      <c r="S2" s="634"/>
      <c r="T2" s="634"/>
      <c r="U2" s="635"/>
    </row>
    <row r="3" spans="1:24" ht="21.75" customHeight="1">
      <c r="A3" s="642"/>
      <c r="B3" s="653" t="s">
        <v>124</v>
      </c>
      <c r="C3" s="653" t="s">
        <v>125</v>
      </c>
      <c r="D3" s="639">
        <f>B1</f>
        <v>0</v>
      </c>
      <c r="E3" s="640"/>
      <c r="F3" s="650"/>
      <c r="G3" s="651"/>
      <c r="H3" s="651"/>
      <c r="I3" s="652"/>
      <c r="J3" s="650"/>
      <c r="K3" s="651"/>
      <c r="L3" s="651"/>
      <c r="M3" s="652"/>
      <c r="N3" s="650"/>
      <c r="O3" s="651"/>
      <c r="P3" s="651"/>
      <c r="Q3" s="652"/>
      <c r="R3" s="636"/>
      <c r="S3" s="637"/>
      <c r="T3" s="637"/>
      <c r="U3" s="638"/>
    </row>
    <row r="4" spans="1:24" ht="43.5">
      <c r="A4" s="643"/>
      <c r="B4" s="654"/>
      <c r="C4" s="654"/>
      <c r="D4" s="13" t="s">
        <v>124</v>
      </c>
      <c r="E4" s="13" t="s">
        <v>126</v>
      </c>
      <c r="F4" s="3" t="s">
        <v>115</v>
      </c>
      <c r="G4" s="3" t="s">
        <v>116</v>
      </c>
      <c r="H4" s="3" t="s">
        <v>117</v>
      </c>
      <c r="I4" s="3" t="s">
        <v>108</v>
      </c>
      <c r="J4" s="3" t="s">
        <v>115</v>
      </c>
      <c r="K4" s="3" t="s">
        <v>116</v>
      </c>
      <c r="L4" s="3" t="s">
        <v>117</v>
      </c>
      <c r="M4" s="3" t="s">
        <v>108</v>
      </c>
      <c r="N4" s="3" t="s">
        <v>115</v>
      </c>
      <c r="O4" s="3" t="s">
        <v>116</v>
      </c>
      <c r="P4" s="3" t="s">
        <v>117</v>
      </c>
      <c r="Q4" s="3" t="s">
        <v>108</v>
      </c>
      <c r="R4" s="3" t="s">
        <v>115</v>
      </c>
      <c r="S4" s="3" t="s">
        <v>116</v>
      </c>
      <c r="T4" s="3" t="s">
        <v>117</v>
      </c>
      <c r="U4" s="4" t="s">
        <v>108</v>
      </c>
    </row>
    <row r="5" spans="1:24" s="20" customFormat="1" ht="27.75">
      <c r="A5" s="65" t="s">
        <v>4</v>
      </c>
      <c r="B5" s="8"/>
      <c r="C5" s="8"/>
      <c r="D5" s="11"/>
      <c r="E5" s="11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9"/>
      <c r="W5" s="19"/>
      <c r="X5" s="19"/>
    </row>
    <row r="6" spans="1:24" s="25" customFormat="1" ht="27.75">
      <c r="A6" s="10" t="s">
        <v>128</v>
      </c>
      <c r="B6" s="55">
        <v>0</v>
      </c>
      <c r="C6" s="55">
        <v>0</v>
      </c>
      <c r="D6" s="41">
        <v>0</v>
      </c>
      <c r="E6" s="41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24"/>
      <c r="W6" s="24"/>
      <c r="X6" s="24"/>
    </row>
    <row r="7" spans="1:24" s="20" customFormat="1" ht="27.75">
      <c r="A7" s="65" t="s">
        <v>5</v>
      </c>
      <c r="B7" s="56"/>
      <c r="C7" s="56"/>
      <c r="D7" s="42"/>
      <c r="E7" s="42"/>
      <c r="F7" s="26"/>
      <c r="G7" s="26"/>
      <c r="H7" s="26"/>
      <c r="I7" s="26"/>
      <c r="J7" s="26"/>
      <c r="K7" s="26"/>
      <c r="L7" s="26"/>
      <c r="M7" s="26"/>
      <c r="N7" s="50"/>
      <c r="O7" s="50"/>
      <c r="P7" s="50"/>
      <c r="Q7" s="50"/>
      <c r="R7" s="50"/>
      <c r="S7" s="50"/>
      <c r="T7" s="50"/>
      <c r="U7" s="50"/>
      <c r="V7" s="19"/>
      <c r="W7" s="19"/>
      <c r="X7" s="19"/>
    </row>
    <row r="8" spans="1:24" s="22" customFormat="1" ht="27.75">
      <c r="A8" s="9" t="str">
        <f>เป้าหมาย!A6</f>
        <v xml:space="preserve">ตัวบ่งชี้ที่ 1.1 กระบวนการพัฒนาแผน  </v>
      </c>
      <c r="B8" s="54" t="e">
        <f>เป้าหมาย!#REF!</f>
        <v>#REF!</v>
      </c>
      <c r="C8" s="54">
        <v>1</v>
      </c>
      <c r="D8" s="344">
        <f>'ป1-สนอ.'!F16</f>
        <v>4</v>
      </c>
      <c r="E8" s="39">
        <f>'ป1-สนอ.'!F16</f>
        <v>4</v>
      </c>
      <c r="F8" s="15"/>
      <c r="G8" s="15">
        <f>D8</f>
        <v>4</v>
      </c>
      <c r="H8" s="15"/>
      <c r="I8" s="38">
        <f t="shared" ref="I8:I19" si="0">SUM(F8:H8)</f>
        <v>4</v>
      </c>
      <c r="J8" s="15"/>
      <c r="K8" s="15">
        <f>E8</f>
        <v>4</v>
      </c>
      <c r="L8" s="15"/>
      <c r="M8" s="38">
        <f t="shared" ref="M8:M19" si="1">SUM(J8:L8)</f>
        <v>4</v>
      </c>
      <c r="N8" s="48"/>
      <c r="O8" s="48">
        <v>1</v>
      </c>
      <c r="P8" s="48"/>
      <c r="Q8" s="46">
        <f t="shared" ref="Q8:Q19" si="2">SUM(N8:P8)</f>
        <v>1</v>
      </c>
      <c r="R8" s="48"/>
      <c r="S8" s="48">
        <v>1</v>
      </c>
      <c r="T8" s="48"/>
      <c r="U8" s="46">
        <f t="shared" ref="U8:U19" si="3">SUM(R8:T8)</f>
        <v>1</v>
      </c>
      <c r="V8" s="21"/>
      <c r="W8" s="21"/>
      <c r="X8" s="21"/>
    </row>
    <row r="9" spans="1:24" s="209" customFormat="1" ht="43.5">
      <c r="A9" s="237" t="str">
        <f>เป้าหมาย!A8</f>
        <v>ตัวบ่งชี้ที่ 1.2.1  ระดับความพึงพอใจของผู้รับบริการต่อการให้บริการของสำนักงานอธิการบดี</v>
      </c>
      <c r="B9" s="205"/>
      <c r="C9" s="206">
        <v>1</v>
      </c>
      <c r="D9" s="345"/>
      <c r="E9" s="346">
        <f>+'ป1-สนอ.'!F19</f>
        <v>4</v>
      </c>
      <c r="F9" s="190"/>
      <c r="G9" s="190"/>
      <c r="H9" s="190"/>
      <c r="I9" s="191">
        <f t="shared" si="0"/>
        <v>0</v>
      </c>
      <c r="J9" s="190"/>
      <c r="K9" s="190"/>
      <c r="L9" s="190">
        <f>+E9</f>
        <v>4</v>
      </c>
      <c r="M9" s="191">
        <f t="shared" si="1"/>
        <v>4</v>
      </c>
      <c r="N9" s="192"/>
      <c r="O9" s="192"/>
      <c r="P9" s="192"/>
      <c r="Q9" s="193">
        <f t="shared" si="2"/>
        <v>0</v>
      </c>
      <c r="R9" s="192"/>
      <c r="S9" s="192"/>
      <c r="T9" s="192">
        <v>1</v>
      </c>
      <c r="U9" s="193">
        <f t="shared" si="3"/>
        <v>1</v>
      </c>
      <c r="V9" s="208"/>
      <c r="W9" s="208"/>
      <c r="X9" s="208"/>
    </row>
    <row r="10" spans="1:24" s="209" customFormat="1" ht="43.5">
      <c r="A10" s="237" t="str">
        <f>เป้าหมาย!A9</f>
        <v>ตัวบ่งชี้ที่ 1.2.2 ร้อยละเฉลี่ยของบุคลากรที่เข้าร่วมกิจกรรมสาธารณประโยชน์ที่สำนักงานอธิการบดีจัดขึ้น</v>
      </c>
      <c r="B10" s="205"/>
      <c r="C10" s="206">
        <v>1</v>
      </c>
      <c r="D10" s="345"/>
      <c r="E10" s="346">
        <f>+'ป1-สนอ.'!F21</f>
        <v>5</v>
      </c>
      <c r="F10" s="190"/>
      <c r="G10" s="190"/>
      <c r="H10" s="190"/>
      <c r="I10" s="191">
        <f t="shared" si="0"/>
        <v>0</v>
      </c>
      <c r="J10" s="190"/>
      <c r="K10" s="190"/>
      <c r="L10" s="190">
        <f t="shared" ref="L10:L11" si="4">+E10</f>
        <v>5</v>
      </c>
      <c r="M10" s="191">
        <f t="shared" si="1"/>
        <v>5</v>
      </c>
      <c r="N10" s="192"/>
      <c r="O10" s="192"/>
      <c r="P10" s="192"/>
      <c r="Q10" s="193">
        <f t="shared" si="2"/>
        <v>0</v>
      </c>
      <c r="R10" s="192"/>
      <c r="S10" s="192"/>
      <c r="T10" s="192">
        <v>1</v>
      </c>
      <c r="U10" s="193">
        <f t="shared" si="3"/>
        <v>1</v>
      </c>
      <c r="V10" s="208"/>
      <c r="W10" s="208"/>
      <c r="X10" s="208"/>
    </row>
    <row r="11" spans="1:24" s="209" customFormat="1" ht="65.25">
      <c r="A11" s="237" t="str">
        <f>เป้าหมาย!A10</f>
        <v>ตัวบ่งชี้ที่ 1.2.3 จำนวนหน่วยงานของสำนักงานอธิการบดีที่ได้มีการแลกเปลี่ยนเรียนรู้ร่วมกับหน่วยงานอื่น</v>
      </c>
      <c r="B11" s="205"/>
      <c r="C11" s="206">
        <v>1</v>
      </c>
      <c r="D11" s="345"/>
      <c r="E11" s="346">
        <f>+'ป1-สนอ.'!F24</f>
        <v>5</v>
      </c>
      <c r="F11" s="190"/>
      <c r="G11" s="190"/>
      <c r="H11" s="190"/>
      <c r="I11" s="191">
        <f t="shared" si="0"/>
        <v>0</v>
      </c>
      <c r="J11" s="190"/>
      <c r="K11" s="190"/>
      <c r="L11" s="190">
        <f t="shared" si="4"/>
        <v>5</v>
      </c>
      <c r="M11" s="191">
        <f t="shared" si="1"/>
        <v>5</v>
      </c>
      <c r="N11" s="192"/>
      <c r="O11" s="192"/>
      <c r="P11" s="192"/>
      <c r="Q11" s="193">
        <f t="shared" si="2"/>
        <v>0</v>
      </c>
      <c r="R11" s="192"/>
      <c r="S11" s="192"/>
      <c r="T11" s="192">
        <v>1</v>
      </c>
      <c r="U11" s="193">
        <f t="shared" si="3"/>
        <v>1</v>
      </c>
      <c r="V11" s="208"/>
      <c r="W11" s="208"/>
      <c r="X11" s="208"/>
    </row>
    <row r="12" spans="1:24" ht="65.25">
      <c r="A12" s="9" t="str">
        <f>เป้าหมาย!A23</f>
        <v>ตัวบ่งชี้ที่ 7.1  ภาวะผู้นำของสภามหาวิทยาลัย/คณะกรรมการบริหารฯ และผู้บริหารทุกระดับของมหาวิทยาลัย/หน่วยงาน</v>
      </c>
      <c r="B12" s="57">
        <v>1</v>
      </c>
      <c r="C12" s="57">
        <v>1</v>
      </c>
      <c r="D12" s="15">
        <f>'ป1-สนอ.'!F40</f>
        <v>3</v>
      </c>
      <c r="E12" s="15">
        <f>D12</f>
        <v>3</v>
      </c>
      <c r="F12" s="15"/>
      <c r="G12" s="15">
        <f>D12</f>
        <v>3</v>
      </c>
      <c r="H12" s="15"/>
      <c r="I12" s="38">
        <f t="shared" si="0"/>
        <v>3</v>
      </c>
      <c r="J12" s="15"/>
      <c r="K12" s="15">
        <f>E12</f>
        <v>3</v>
      </c>
      <c r="L12" s="15"/>
      <c r="M12" s="38">
        <f t="shared" si="1"/>
        <v>3</v>
      </c>
      <c r="N12" s="51"/>
      <c r="O12" s="51">
        <v>1</v>
      </c>
      <c r="P12" s="51"/>
      <c r="Q12" s="46">
        <f t="shared" si="2"/>
        <v>1</v>
      </c>
      <c r="R12" s="51"/>
      <c r="S12" s="51">
        <v>1</v>
      </c>
      <c r="T12" s="51"/>
      <c r="U12" s="46">
        <f t="shared" si="3"/>
        <v>1</v>
      </c>
      <c r="V12" s="2"/>
      <c r="W12" s="2"/>
      <c r="X12" s="2"/>
    </row>
    <row r="13" spans="1:24" ht="43.5">
      <c r="A13" s="9" t="str">
        <f>เป้าหมาย!A25</f>
        <v>ตัวบ่งชี้ที่ 7.3 ระบบสารสนเทศเพื่อการบริหารและการตัดสินใจ</v>
      </c>
      <c r="B13" s="57">
        <v>1</v>
      </c>
      <c r="C13" s="57">
        <v>1</v>
      </c>
      <c r="D13" s="44">
        <f>'ป1-สนอ.'!F44</f>
        <v>5</v>
      </c>
      <c r="E13" s="15">
        <f>D13</f>
        <v>5</v>
      </c>
      <c r="F13" s="15"/>
      <c r="G13" s="15">
        <f>D13</f>
        <v>5</v>
      </c>
      <c r="H13" s="15"/>
      <c r="I13" s="38">
        <f t="shared" si="0"/>
        <v>5</v>
      </c>
      <c r="J13" s="15"/>
      <c r="K13" s="15">
        <f>E13</f>
        <v>5</v>
      </c>
      <c r="L13" s="15"/>
      <c r="M13" s="38">
        <f t="shared" si="1"/>
        <v>5</v>
      </c>
      <c r="N13" s="51"/>
      <c r="O13" s="51">
        <v>1</v>
      </c>
      <c r="P13" s="51"/>
      <c r="Q13" s="46">
        <f t="shared" si="2"/>
        <v>1</v>
      </c>
      <c r="R13" s="51"/>
      <c r="S13" s="51">
        <v>1</v>
      </c>
      <c r="T13" s="51"/>
      <c r="U13" s="46">
        <f t="shared" si="3"/>
        <v>1</v>
      </c>
      <c r="V13" s="2"/>
      <c r="W13" s="2"/>
      <c r="X13" s="2"/>
    </row>
    <row r="14" spans="1:24" ht="27.75">
      <c r="A14" s="9" t="str">
        <f>เป้าหมาย!A26</f>
        <v>ตัวบ่งชี้ที่ 7.4 ระบบบริหารความเสี่ยง</v>
      </c>
      <c r="B14" s="57">
        <v>1</v>
      </c>
      <c r="C14" s="57">
        <v>1</v>
      </c>
      <c r="D14" s="44">
        <f>'ป1-สนอ.'!F46</f>
        <v>5</v>
      </c>
      <c r="E14" s="15">
        <f>D14</f>
        <v>5</v>
      </c>
      <c r="F14" s="15"/>
      <c r="G14" s="15">
        <f>D14</f>
        <v>5</v>
      </c>
      <c r="H14" s="15"/>
      <c r="I14" s="38">
        <f t="shared" si="0"/>
        <v>5</v>
      </c>
      <c r="J14" s="15"/>
      <c r="K14" s="15">
        <f>E14</f>
        <v>5</v>
      </c>
      <c r="L14" s="15"/>
      <c r="M14" s="38">
        <f t="shared" si="1"/>
        <v>5</v>
      </c>
      <c r="N14" s="51"/>
      <c r="O14" s="51">
        <v>1</v>
      </c>
      <c r="P14" s="51"/>
      <c r="Q14" s="46">
        <f t="shared" si="2"/>
        <v>1</v>
      </c>
      <c r="R14" s="51"/>
      <c r="S14" s="51">
        <v>1</v>
      </c>
      <c r="T14" s="51"/>
      <c r="U14" s="46">
        <f t="shared" si="3"/>
        <v>1</v>
      </c>
      <c r="V14" s="2"/>
      <c r="W14" s="2"/>
      <c r="X14" s="2"/>
    </row>
    <row r="15" spans="1:24" ht="43.5">
      <c r="A15" s="9" t="str">
        <f>เป้าหมาย!A27</f>
        <v>ตัวบ่งชี้ 7.5.2 การปฏิบัติตามบทบาทหน้าที่ของผู้บริหารสถาบัน</v>
      </c>
      <c r="B15" s="57"/>
      <c r="C15" s="57">
        <v>1</v>
      </c>
      <c r="D15" s="44"/>
      <c r="E15" s="15">
        <f>'ป1-สนอ.'!F50</f>
        <v>3.91</v>
      </c>
      <c r="F15" s="15"/>
      <c r="G15" s="15"/>
      <c r="H15" s="15"/>
      <c r="I15" s="38">
        <f t="shared" si="0"/>
        <v>0</v>
      </c>
      <c r="J15" s="15"/>
      <c r="K15" s="15"/>
      <c r="L15" s="15">
        <f>E15</f>
        <v>3.91</v>
      </c>
      <c r="M15" s="38">
        <f t="shared" si="1"/>
        <v>3.91</v>
      </c>
      <c r="N15" s="51"/>
      <c r="O15" s="51"/>
      <c r="P15" s="51"/>
      <c r="Q15" s="46">
        <f t="shared" si="2"/>
        <v>0</v>
      </c>
      <c r="R15" s="51"/>
      <c r="S15" s="51"/>
      <c r="T15" s="51">
        <v>1</v>
      </c>
      <c r="U15" s="46">
        <f t="shared" si="3"/>
        <v>1</v>
      </c>
      <c r="V15" s="2"/>
      <c r="W15" s="2"/>
      <c r="X15" s="2"/>
    </row>
    <row r="16" spans="1:24" s="195" customFormat="1" ht="43.5" customHeight="1">
      <c r="A16" s="238" t="str">
        <f>+เป้าหมาย!A29</f>
        <v>ตัวบ่งชี้ 7.6.1 ระบบพัฒนาบุคลากร</v>
      </c>
      <c r="B16" s="189"/>
      <c r="C16" s="343">
        <v>1</v>
      </c>
      <c r="D16" s="190"/>
      <c r="E16" s="190">
        <f>+'ป1-สนอ.'!F51</f>
        <v>5</v>
      </c>
      <c r="F16" s="190"/>
      <c r="G16" s="190"/>
      <c r="H16" s="190"/>
      <c r="I16" s="38"/>
      <c r="J16" s="190"/>
      <c r="K16" s="15">
        <f>+E16</f>
        <v>5</v>
      </c>
      <c r="L16" s="15"/>
      <c r="M16" s="38">
        <f t="shared" ref="M16:M18" si="5">SUM(J16:L16)</f>
        <v>5</v>
      </c>
      <c r="N16" s="51"/>
      <c r="O16" s="51"/>
      <c r="P16" s="51"/>
      <c r="Q16" s="46">
        <f t="shared" ref="Q16:Q18" si="6">SUM(N16:P16)</f>
        <v>0</v>
      </c>
      <c r="R16" s="51"/>
      <c r="S16" s="51">
        <v>1</v>
      </c>
      <c r="T16" s="51"/>
      <c r="U16" s="46">
        <f t="shared" ref="U16:U18" si="7">SUM(R16:T16)</f>
        <v>1</v>
      </c>
      <c r="V16" s="194"/>
      <c r="W16" s="194"/>
      <c r="X16" s="194"/>
    </row>
    <row r="17" spans="1:24" s="195" customFormat="1" ht="43.5" customHeight="1">
      <c r="A17" s="238" t="str">
        <f>+เป้าหมาย!A30</f>
        <v>ตัวบ่งชี้ 7.6.2 ระดับความพึงพอใจของบุคลากรทุกระดับต่อกระบวนการพัฒนาความรู้และทักษะของสำนักงานอธิการบดี</v>
      </c>
      <c r="B17" s="189"/>
      <c r="C17" s="343">
        <v>1</v>
      </c>
      <c r="D17" s="190"/>
      <c r="E17" s="190">
        <f>+'ป1-สนอ.'!F53</f>
        <v>4</v>
      </c>
      <c r="F17" s="190"/>
      <c r="G17" s="190"/>
      <c r="H17" s="190"/>
      <c r="I17" s="38"/>
      <c r="J17" s="190"/>
      <c r="K17" s="15"/>
      <c r="L17" s="15">
        <f t="shared" ref="L17:L18" si="8">E17</f>
        <v>4</v>
      </c>
      <c r="M17" s="38">
        <f t="shared" si="5"/>
        <v>4</v>
      </c>
      <c r="N17" s="51"/>
      <c r="O17" s="51"/>
      <c r="P17" s="51"/>
      <c r="Q17" s="46">
        <f t="shared" si="6"/>
        <v>0</v>
      </c>
      <c r="R17" s="51"/>
      <c r="S17" s="51"/>
      <c r="T17" s="51">
        <v>1</v>
      </c>
      <c r="U17" s="46">
        <f t="shared" si="7"/>
        <v>1</v>
      </c>
      <c r="V17" s="194"/>
      <c r="W17" s="194"/>
      <c r="X17" s="194"/>
    </row>
    <row r="18" spans="1:24" s="195" customFormat="1" ht="43.5" customHeight="1">
      <c r="A18" s="238" t="str">
        <f>+เป้าหมาย!A31</f>
        <v>ตัวบ่งชี้ที่ 7.6.3 ร้อยละของบุคลากรที่ได้รับการพัฒนาความรู้และทักษะ</v>
      </c>
      <c r="B18" s="189"/>
      <c r="C18" s="343">
        <v>1</v>
      </c>
      <c r="D18" s="190"/>
      <c r="E18" s="190">
        <f>+'ป1-สนอ.'!F56</f>
        <v>5</v>
      </c>
      <c r="F18" s="190"/>
      <c r="G18" s="190"/>
      <c r="H18" s="190"/>
      <c r="I18" s="38"/>
      <c r="J18" s="190"/>
      <c r="K18" s="15"/>
      <c r="L18" s="15">
        <f t="shared" si="8"/>
        <v>5</v>
      </c>
      <c r="M18" s="38">
        <f t="shared" si="5"/>
        <v>5</v>
      </c>
      <c r="N18" s="51"/>
      <c r="O18" s="51"/>
      <c r="P18" s="51"/>
      <c r="Q18" s="46">
        <f t="shared" si="6"/>
        <v>0</v>
      </c>
      <c r="R18" s="51"/>
      <c r="S18" s="51"/>
      <c r="T18" s="51">
        <v>1</v>
      </c>
      <c r="U18" s="46">
        <f t="shared" si="7"/>
        <v>1</v>
      </c>
      <c r="V18" s="194"/>
      <c r="W18" s="194"/>
      <c r="X18" s="194"/>
    </row>
    <row r="19" spans="1:24" ht="43.5">
      <c r="A19" s="9" t="str">
        <f>เป้าหมาย!A47</f>
        <v>ตัวบ่งชี้ที่ 9.1 ระบบและกลไกการประกันคุณภาพการศึกษาภายใน</v>
      </c>
      <c r="B19" s="57">
        <v>1</v>
      </c>
      <c r="C19" s="57">
        <v>1</v>
      </c>
      <c r="D19" s="44">
        <f>'ป1-สนอ.'!F64</f>
        <v>4</v>
      </c>
      <c r="E19" s="15">
        <f>D19</f>
        <v>4</v>
      </c>
      <c r="F19" s="15"/>
      <c r="G19" s="15">
        <f>D19</f>
        <v>4</v>
      </c>
      <c r="H19" s="15"/>
      <c r="I19" s="38">
        <f t="shared" si="0"/>
        <v>4</v>
      </c>
      <c r="J19" s="15"/>
      <c r="K19" s="15">
        <f>E19</f>
        <v>4</v>
      </c>
      <c r="L19" s="15"/>
      <c r="M19" s="38">
        <f t="shared" si="1"/>
        <v>4</v>
      </c>
      <c r="N19" s="51"/>
      <c r="O19" s="51">
        <v>1</v>
      </c>
      <c r="P19" s="51"/>
      <c r="Q19" s="46">
        <f t="shared" si="2"/>
        <v>1</v>
      </c>
      <c r="R19" s="51"/>
      <c r="S19" s="51">
        <v>1</v>
      </c>
      <c r="T19" s="51"/>
      <c r="U19" s="46">
        <f t="shared" si="3"/>
        <v>1</v>
      </c>
      <c r="V19" s="2"/>
      <c r="W19" s="2"/>
      <c r="X19" s="2"/>
    </row>
    <row r="20" spans="1:24" s="25" customFormat="1" ht="27.75">
      <c r="A20" s="10" t="s">
        <v>128</v>
      </c>
      <c r="B20" s="55" t="e">
        <f>SUM(B8:B19)</f>
        <v>#REF!</v>
      </c>
      <c r="C20" s="55">
        <f>SUM(C8:C19)</f>
        <v>12</v>
      </c>
      <c r="D20" s="41" t="e">
        <f>SUM(D8:D19)/B20</f>
        <v>#REF!</v>
      </c>
      <c r="E20" s="41">
        <f>SUM(E12:E19,E8)/C20</f>
        <v>3.2424999999999997</v>
      </c>
      <c r="F20" s="23" t="e">
        <f t="shared" ref="F20:M20" si="9">SUM(F8:F19)/N20</f>
        <v>#DIV/0!</v>
      </c>
      <c r="G20" s="23">
        <f t="shared" si="9"/>
        <v>4.2</v>
      </c>
      <c r="H20" s="23" t="e">
        <f t="shared" si="9"/>
        <v>#DIV/0!</v>
      </c>
      <c r="I20" s="23">
        <f t="shared" si="9"/>
        <v>4.2</v>
      </c>
      <c r="J20" s="23" t="e">
        <f t="shared" si="9"/>
        <v>#DIV/0!</v>
      </c>
      <c r="K20" s="23">
        <f t="shared" si="9"/>
        <v>4.333333333333333</v>
      </c>
      <c r="L20" s="23">
        <f t="shared" si="9"/>
        <v>4.4850000000000003</v>
      </c>
      <c r="M20" s="23">
        <f t="shared" si="9"/>
        <v>4.4091666666666667</v>
      </c>
      <c r="N20" s="49">
        <f>SUM(N8:N19)</f>
        <v>0</v>
      </c>
      <c r="O20" s="49">
        <f t="shared" ref="O20:U20" si="10">SUM(O8:O19)</f>
        <v>5</v>
      </c>
      <c r="P20" s="49">
        <f t="shared" si="10"/>
        <v>0</v>
      </c>
      <c r="Q20" s="49">
        <f t="shared" si="10"/>
        <v>5</v>
      </c>
      <c r="R20" s="49">
        <f t="shared" si="10"/>
        <v>0</v>
      </c>
      <c r="S20" s="49">
        <f t="shared" si="10"/>
        <v>6</v>
      </c>
      <c r="T20" s="49">
        <f t="shared" si="10"/>
        <v>6</v>
      </c>
      <c r="U20" s="49">
        <f t="shared" si="10"/>
        <v>12</v>
      </c>
      <c r="V20" s="24"/>
      <c r="W20" s="24"/>
      <c r="X20" s="24"/>
    </row>
    <row r="21" spans="1:24" s="28" customFormat="1" ht="27.75">
      <c r="A21" s="65" t="s">
        <v>6</v>
      </c>
      <c r="B21" s="58"/>
      <c r="C21" s="58"/>
      <c r="D21" s="45"/>
      <c r="E21" s="26"/>
      <c r="F21" s="26"/>
      <c r="G21" s="26"/>
      <c r="H21" s="26"/>
      <c r="I21" s="26"/>
      <c r="J21" s="26"/>
      <c r="K21" s="26"/>
      <c r="L21" s="26"/>
      <c r="M21" s="45"/>
      <c r="N21" s="52"/>
      <c r="O21" s="52"/>
      <c r="P21" s="52"/>
      <c r="Q21" s="52"/>
      <c r="R21" s="52"/>
      <c r="S21" s="52"/>
      <c r="T21" s="52"/>
      <c r="U21" s="52"/>
      <c r="V21" s="27"/>
      <c r="W21" s="27"/>
      <c r="X21" s="27"/>
    </row>
    <row r="22" spans="1:24" ht="27.75">
      <c r="A22" s="9" t="str">
        <f>เป้าหมาย!A45</f>
        <v>ตัวบ่งชี้ที่ 8.1 ระบบและกลไกการเงินและงบประมาณ</v>
      </c>
      <c r="B22" s="57">
        <v>1</v>
      </c>
      <c r="C22" s="57">
        <v>1</v>
      </c>
      <c r="D22" s="44">
        <f>'ป1-สนอ.'!F60</f>
        <v>2</v>
      </c>
      <c r="E22" s="15">
        <f>D22</f>
        <v>2</v>
      </c>
      <c r="F22" s="15"/>
      <c r="G22" s="15">
        <f>D22</f>
        <v>2</v>
      </c>
      <c r="H22" s="15"/>
      <c r="I22" s="38">
        <f>SUM(F22:H22)</f>
        <v>2</v>
      </c>
      <c r="J22" s="15"/>
      <c r="K22" s="15">
        <f>E22</f>
        <v>2</v>
      </c>
      <c r="L22" s="15"/>
      <c r="M22" s="38">
        <f>SUM(J22:L22)</f>
        <v>2</v>
      </c>
      <c r="N22" s="51"/>
      <c r="O22" s="51">
        <v>1</v>
      </c>
      <c r="P22" s="51"/>
      <c r="Q22" s="46">
        <f>SUM(N22:P22)</f>
        <v>1</v>
      </c>
      <c r="R22" s="51"/>
      <c r="S22" s="51">
        <v>1</v>
      </c>
      <c r="T22" s="51"/>
      <c r="U22" s="46">
        <f>SUM(R22:T22)</f>
        <v>1</v>
      </c>
      <c r="V22" s="2"/>
      <c r="W22" s="2"/>
      <c r="X22" s="2"/>
    </row>
    <row r="23" spans="1:24" s="25" customFormat="1" ht="27.75">
      <c r="A23" s="10" t="s">
        <v>128</v>
      </c>
      <c r="B23" s="55">
        <f>SUM(B22:B22)</f>
        <v>1</v>
      </c>
      <c r="C23" s="55">
        <f>SUM(C22:C22)</f>
        <v>1</v>
      </c>
      <c r="D23" s="41">
        <f>SUM(D22:D22)/B23</f>
        <v>2</v>
      </c>
      <c r="E23" s="41">
        <f>SUM(E22:E22)/C23</f>
        <v>2</v>
      </c>
      <c r="F23" s="23" t="e">
        <f t="shared" ref="F23:M23" si="11">SUM(F22:F22)/N23</f>
        <v>#DIV/0!</v>
      </c>
      <c r="G23" s="23">
        <f t="shared" si="11"/>
        <v>2</v>
      </c>
      <c r="H23" s="23" t="e">
        <f t="shared" si="11"/>
        <v>#DIV/0!</v>
      </c>
      <c r="I23" s="23">
        <f t="shared" si="11"/>
        <v>2</v>
      </c>
      <c r="J23" s="23" t="e">
        <f t="shared" si="11"/>
        <v>#DIV/0!</v>
      </c>
      <c r="K23" s="23">
        <f t="shared" si="11"/>
        <v>2</v>
      </c>
      <c r="L23" s="23" t="e">
        <f t="shared" si="11"/>
        <v>#DIV/0!</v>
      </c>
      <c r="M23" s="23">
        <f t="shared" si="11"/>
        <v>2</v>
      </c>
      <c r="N23" s="49">
        <f t="shared" ref="N23:U23" si="12">SUM(N22:N22)</f>
        <v>0</v>
      </c>
      <c r="O23" s="49">
        <f t="shared" si="12"/>
        <v>1</v>
      </c>
      <c r="P23" s="49">
        <f t="shared" si="12"/>
        <v>0</v>
      </c>
      <c r="Q23" s="49">
        <f t="shared" si="12"/>
        <v>1</v>
      </c>
      <c r="R23" s="49">
        <f t="shared" si="12"/>
        <v>0</v>
      </c>
      <c r="S23" s="49">
        <f t="shared" si="12"/>
        <v>1</v>
      </c>
      <c r="T23" s="49">
        <f t="shared" si="12"/>
        <v>0</v>
      </c>
      <c r="U23" s="49">
        <f t="shared" si="12"/>
        <v>1</v>
      </c>
      <c r="V23" s="24"/>
      <c r="W23" s="24"/>
      <c r="X23" s="24"/>
    </row>
    <row r="24" spans="1:24" s="28" customFormat="1" ht="27.75">
      <c r="A24" s="65" t="s">
        <v>7</v>
      </c>
      <c r="B24" s="58"/>
      <c r="C24" s="58"/>
      <c r="D24" s="45"/>
      <c r="E24" s="26"/>
      <c r="F24" s="26"/>
      <c r="G24" s="26"/>
      <c r="H24" s="26"/>
      <c r="I24" s="26"/>
      <c r="J24" s="26"/>
      <c r="K24" s="26"/>
      <c r="L24" s="26"/>
      <c r="M24" s="45"/>
      <c r="N24" s="52"/>
      <c r="O24" s="52"/>
      <c r="P24" s="52"/>
      <c r="Q24" s="52"/>
      <c r="R24" s="52"/>
      <c r="S24" s="52"/>
      <c r="T24" s="52"/>
      <c r="U24" s="52"/>
      <c r="V24" s="27"/>
      <c r="W24" s="27"/>
      <c r="X24" s="27"/>
    </row>
    <row r="25" spans="1:24" ht="43.5">
      <c r="A25" s="9" t="str">
        <f>เป้าหมาย!A24</f>
        <v>ตัวบ่งชี้ที่ 7.2 การพัฒนามหาวิทยาลัย/หน่วยงานสู่มหาวิทยาลัย/หน่วยงานเรียนรู้</v>
      </c>
      <c r="B25" s="57">
        <v>1</v>
      </c>
      <c r="C25" s="57">
        <v>1</v>
      </c>
      <c r="D25" s="44">
        <f>'ป1-สนอ.'!F42</f>
        <v>5</v>
      </c>
      <c r="E25" s="15">
        <f>D25</f>
        <v>5</v>
      </c>
      <c r="F25" s="15"/>
      <c r="G25" s="15">
        <f>D25</f>
        <v>5</v>
      </c>
      <c r="H25" s="15"/>
      <c r="I25" s="38">
        <f>SUM(F25:H25)</f>
        <v>5</v>
      </c>
      <c r="J25" s="15"/>
      <c r="K25" s="15">
        <f>E25</f>
        <v>5</v>
      </c>
      <c r="L25" s="15"/>
      <c r="M25" s="38">
        <f>SUM(J25:L25)</f>
        <v>5</v>
      </c>
      <c r="N25" s="51"/>
      <c r="O25" s="51">
        <v>1</v>
      </c>
      <c r="P25" s="51"/>
      <c r="Q25" s="46">
        <f>SUM(N25:P25)</f>
        <v>1</v>
      </c>
      <c r="R25" s="51"/>
      <c r="S25" s="51">
        <v>1</v>
      </c>
      <c r="T25" s="51"/>
      <c r="U25" s="46">
        <f>SUM(R25:T25)</f>
        <v>1</v>
      </c>
      <c r="V25" s="2"/>
      <c r="W25" s="2"/>
      <c r="X25" s="2"/>
    </row>
    <row r="26" spans="1:24" s="25" customFormat="1" ht="27.75">
      <c r="A26" s="10" t="s">
        <v>128</v>
      </c>
      <c r="B26" s="55">
        <f>SUM(B25:B25)</f>
        <v>1</v>
      </c>
      <c r="C26" s="55">
        <f>SUM(C25:C25)</f>
        <v>1</v>
      </c>
      <c r="D26" s="41">
        <f>SUM(D25:D25)/B26</f>
        <v>5</v>
      </c>
      <c r="E26" s="41">
        <f>SUM(E25)/C26</f>
        <v>5</v>
      </c>
      <c r="F26" s="23" t="e">
        <f t="shared" ref="F26:M26" si="13">SUM(F25:F25)/N26</f>
        <v>#DIV/0!</v>
      </c>
      <c r="G26" s="23">
        <f t="shared" si="13"/>
        <v>5</v>
      </c>
      <c r="H26" s="23" t="e">
        <f t="shared" si="13"/>
        <v>#DIV/0!</v>
      </c>
      <c r="I26" s="23">
        <f t="shared" si="13"/>
        <v>5</v>
      </c>
      <c r="J26" s="23" t="e">
        <f t="shared" si="13"/>
        <v>#DIV/0!</v>
      </c>
      <c r="K26" s="23">
        <f t="shared" si="13"/>
        <v>5</v>
      </c>
      <c r="L26" s="23" t="e">
        <f t="shared" si="13"/>
        <v>#DIV/0!</v>
      </c>
      <c r="M26" s="23">
        <f t="shared" si="13"/>
        <v>5</v>
      </c>
      <c r="N26" s="49">
        <f t="shared" ref="N26:U26" si="14">SUM(N25:N25)</f>
        <v>0</v>
      </c>
      <c r="O26" s="49">
        <f t="shared" si="14"/>
        <v>1</v>
      </c>
      <c r="P26" s="49">
        <f t="shared" si="14"/>
        <v>0</v>
      </c>
      <c r="Q26" s="49">
        <f t="shared" si="14"/>
        <v>1</v>
      </c>
      <c r="R26" s="49">
        <f t="shared" si="14"/>
        <v>0</v>
      </c>
      <c r="S26" s="49">
        <f t="shared" si="14"/>
        <v>1</v>
      </c>
      <c r="T26" s="49">
        <f t="shared" si="14"/>
        <v>0</v>
      </c>
      <c r="U26" s="49">
        <f t="shared" si="14"/>
        <v>1</v>
      </c>
      <c r="V26" s="24"/>
      <c r="W26" s="24"/>
      <c r="X26" s="24"/>
    </row>
    <row r="27" spans="1:24" ht="27.75">
      <c r="A27" s="37" t="s">
        <v>138</v>
      </c>
      <c r="B27" s="47" t="e">
        <f>SUM(B6,B20,B23,B26)</f>
        <v>#REF!</v>
      </c>
      <c r="C27" s="47">
        <f>SUM(C6,C20,C23,C26)</f>
        <v>14</v>
      </c>
      <c r="D27" s="367" t="e">
        <f>SUM(D6,D8:D19,D23,D26)/B27</f>
        <v>#REF!</v>
      </c>
      <c r="E27" s="367">
        <f>SUM(E6,E8:E19,E23,E26)/C27</f>
        <v>4.2792857142857139</v>
      </c>
      <c r="F27" s="367" t="e">
        <f>SUM(F6,F8:F19,F23,F26)/N27</f>
        <v>#DIV/0!</v>
      </c>
      <c r="G27" s="367">
        <f t="shared" ref="G27:M27" si="15">SUM(G6,G8:G19,G23,G26)/O27</f>
        <v>4</v>
      </c>
      <c r="H27" s="367" t="e">
        <f t="shared" si="15"/>
        <v>#DIV/0!</v>
      </c>
      <c r="I27" s="367">
        <f t="shared" si="15"/>
        <v>4</v>
      </c>
      <c r="J27" s="367" t="e">
        <f t="shared" si="15"/>
        <v>#DIV/0!</v>
      </c>
      <c r="K27" s="367">
        <f t="shared" si="15"/>
        <v>4.125</v>
      </c>
      <c r="L27" s="367" t="e">
        <f t="shared" si="15"/>
        <v>#DIV/0!</v>
      </c>
      <c r="M27" s="367">
        <f t="shared" si="15"/>
        <v>4.2792857142857139</v>
      </c>
      <c r="N27" s="53">
        <f t="shared" ref="N27:U27" si="16">SUM(N6,N20,N23,N26)</f>
        <v>0</v>
      </c>
      <c r="O27" s="53">
        <f t="shared" si="16"/>
        <v>7</v>
      </c>
      <c r="P27" s="47">
        <f t="shared" si="16"/>
        <v>0</v>
      </c>
      <c r="Q27" s="47">
        <f t="shared" si="16"/>
        <v>7</v>
      </c>
      <c r="R27" s="47">
        <f t="shared" si="16"/>
        <v>0</v>
      </c>
      <c r="S27" s="47">
        <f t="shared" si="16"/>
        <v>8</v>
      </c>
      <c r="T27" s="47">
        <f t="shared" si="16"/>
        <v>6</v>
      </c>
      <c r="U27" s="47">
        <f t="shared" si="16"/>
        <v>14</v>
      </c>
      <c r="V27" s="2"/>
      <c r="W27" s="2"/>
      <c r="X27" s="2"/>
    </row>
    <row r="28" spans="1:24">
      <c r="A28" s="1"/>
      <c r="D28" s="30"/>
      <c r="E28" s="5"/>
      <c r="F28" s="5"/>
      <c r="G28" s="5"/>
      <c r="H28" s="5"/>
      <c r="I28" s="5"/>
      <c r="J28" s="5"/>
      <c r="K28" s="5"/>
      <c r="L28" s="5"/>
    </row>
    <row r="29" spans="1:24">
      <c r="A29" s="1"/>
      <c r="D29" s="30"/>
      <c r="E29" s="31"/>
      <c r="F29" s="32"/>
      <c r="G29" s="32"/>
      <c r="H29" s="32"/>
      <c r="I29" s="32"/>
      <c r="J29" s="32"/>
      <c r="K29" s="32"/>
      <c r="L29" s="32"/>
    </row>
    <row r="30" spans="1:24">
      <c r="A30" s="1"/>
      <c r="D30" s="30"/>
      <c r="E30" s="31"/>
      <c r="F30" s="33"/>
      <c r="G30" s="32"/>
      <c r="H30" s="32"/>
      <c r="I30" s="32"/>
      <c r="J30" s="33"/>
      <c r="K30" s="32"/>
      <c r="L30" s="32"/>
    </row>
    <row r="31" spans="1:24">
      <c r="A31" s="1"/>
      <c r="D31" s="30"/>
      <c r="E31" s="31"/>
      <c r="F31" s="32"/>
      <c r="G31" s="32"/>
      <c r="H31" s="32"/>
      <c r="I31" s="32"/>
      <c r="J31" s="33"/>
      <c r="K31" s="32"/>
      <c r="L31" s="32"/>
    </row>
    <row r="32" spans="1:24">
      <c r="A32" s="1"/>
      <c r="D32" s="30"/>
      <c r="E32" s="31"/>
      <c r="F32" s="32"/>
      <c r="G32" s="32"/>
      <c r="H32" s="32"/>
      <c r="I32" s="33"/>
      <c r="J32" s="32"/>
      <c r="K32" s="32"/>
      <c r="L32" s="32"/>
    </row>
    <row r="33" spans="1:12">
      <c r="A33" s="1"/>
      <c r="D33" s="30"/>
      <c r="E33" s="31"/>
      <c r="F33" s="32"/>
      <c r="G33" s="33"/>
      <c r="H33" s="32"/>
      <c r="I33" s="32"/>
      <c r="J33" s="32"/>
      <c r="K33" s="33"/>
      <c r="L33" s="32"/>
    </row>
    <row r="34" spans="1:12">
      <c r="A34" s="1"/>
      <c r="D34" s="30"/>
      <c r="E34" s="31"/>
      <c r="F34" s="32"/>
      <c r="G34" s="32"/>
      <c r="H34" s="32"/>
      <c r="I34" s="33"/>
      <c r="J34" s="32"/>
      <c r="K34" s="32"/>
      <c r="L34" s="32"/>
    </row>
    <row r="35" spans="1:12">
      <c r="A35" s="1"/>
      <c r="D35" s="30"/>
      <c r="E35" s="31"/>
      <c r="F35" s="32"/>
      <c r="G35" s="32"/>
      <c r="H35" s="32"/>
      <c r="I35" s="32"/>
      <c r="J35" s="32"/>
      <c r="K35" s="33"/>
      <c r="L35" s="32"/>
    </row>
    <row r="36" spans="1:12">
      <c r="A36" s="1"/>
      <c r="D36" s="30"/>
      <c r="E36" s="31"/>
      <c r="F36" s="32"/>
      <c r="G36" s="33"/>
      <c r="H36" s="32"/>
      <c r="I36" s="32"/>
      <c r="J36" s="32"/>
      <c r="K36" s="33"/>
      <c r="L36" s="32"/>
    </row>
    <row r="37" spans="1:12">
      <c r="A37" s="1"/>
      <c r="D37" s="30"/>
      <c r="E37" s="5"/>
      <c r="F37" s="5"/>
      <c r="G37" s="5"/>
      <c r="H37" s="5"/>
      <c r="I37" s="5"/>
      <c r="J37" s="5"/>
      <c r="K37" s="5"/>
      <c r="L37" s="5"/>
    </row>
    <row r="38" spans="1:12">
      <c r="A38" s="1"/>
      <c r="D38" s="30"/>
      <c r="E38" s="31"/>
      <c r="F38" s="32"/>
      <c r="G38" s="32"/>
      <c r="H38" s="32"/>
      <c r="I38" s="32"/>
      <c r="J38" s="32"/>
      <c r="K38" s="32"/>
      <c r="L38" s="32"/>
    </row>
    <row r="39" spans="1:12">
      <c r="A39" s="1"/>
      <c r="D39" s="30"/>
      <c r="E39" s="31"/>
      <c r="F39" s="33"/>
      <c r="G39" s="32"/>
      <c r="H39" s="32"/>
      <c r="I39" s="32"/>
      <c r="J39" s="33"/>
      <c r="K39" s="32"/>
      <c r="L39" s="32"/>
    </row>
    <row r="40" spans="1:12">
      <c r="A40" s="1"/>
      <c r="D40" s="30"/>
      <c r="E40" s="31"/>
      <c r="F40" s="32"/>
      <c r="G40" s="32"/>
      <c r="H40" s="32"/>
      <c r="I40" s="32"/>
      <c r="J40" s="32"/>
      <c r="K40" s="32"/>
      <c r="L40" s="32"/>
    </row>
    <row r="41" spans="1:12">
      <c r="A41" s="1"/>
      <c r="D41" s="30"/>
      <c r="E41" s="31"/>
      <c r="F41" s="32"/>
      <c r="G41" s="32"/>
      <c r="H41" s="32"/>
      <c r="I41" s="32"/>
      <c r="J41" s="32"/>
      <c r="K41" s="32"/>
      <c r="L41" s="32"/>
    </row>
    <row r="42" spans="1:12">
      <c r="A42" s="1"/>
      <c r="D42" s="30"/>
      <c r="E42" s="31"/>
      <c r="F42" s="32"/>
      <c r="G42" s="32"/>
      <c r="H42" s="32"/>
      <c r="I42" s="32"/>
      <c r="J42" s="32"/>
      <c r="K42" s="32"/>
      <c r="L42" s="32"/>
    </row>
    <row r="43" spans="1:12">
      <c r="A43" s="1"/>
      <c r="D43" s="30"/>
      <c r="E43" s="5"/>
      <c r="F43" s="5"/>
      <c r="G43" s="5"/>
      <c r="H43" s="5"/>
      <c r="I43" s="1"/>
      <c r="J43" s="1"/>
      <c r="K43" s="5"/>
      <c r="L43" s="5"/>
    </row>
    <row r="44" spans="1:12">
      <c r="A44" s="1"/>
      <c r="D44" s="30"/>
      <c r="E44" s="31"/>
      <c r="F44" s="32"/>
      <c r="G44" s="32"/>
      <c r="H44" s="32"/>
      <c r="I44" s="32"/>
      <c r="J44" s="32"/>
      <c r="K44" s="32"/>
      <c r="L44" s="32"/>
    </row>
    <row r="45" spans="1:12">
      <c r="A45" s="1"/>
      <c r="D45" s="30"/>
      <c r="E45" s="31"/>
      <c r="F45" s="33"/>
      <c r="G45" s="32"/>
      <c r="H45" s="32"/>
      <c r="I45" s="32"/>
      <c r="J45" s="33"/>
      <c r="K45" s="32"/>
      <c r="L45" s="32"/>
    </row>
    <row r="46" spans="1:12">
      <c r="A46" s="1"/>
      <c r="D46" s="30"/>
      <c r="E46" s="31"/>
      <c r="F46" s="33"/>
      <c r="G46" s="32"/>
      <c r="H46" s="32"/>
      <c r="I46" s="32"/>
      <c r="J46" s="33"/>
      <c r="K46" s="32"/>
      <c r="L46" s="32"/>
    </row>
    <row r="47" spans="1:12">
      <c r="A47" s="1"/>
      <c r="D47" s="30"/>
      <c r="E47" s="31"/>
      <c r="F47" s="33"/>
      <c r="G47" s="32"/>
      <c r="H47" s="32"/>
      <c r="I47" s="32"/>
      <c r="J47" s="33"/>
      <c r="K47" s="32"/>
      <c r="L47" s="32"/>
    </row>
    <row r="48" spans="1:12">
      <c r="A48" s="1"/>
      <c r="D48" s="30"/>
      <c r="E48" s="31"/>
      <c r="F48" s="33"/>
      <c r="G48" s="32"/>
      <c r="H48" s="32"/>
      <c r="I48" s="32"/>
      <c r="J48" s="33"/>
      <c r="K48" s="32"/>
      <c r="L48" s="32"/>
    </row>
    <row r="49" spans="1:12">
      <c r="A49" s="1"/>
      <c r="D49" s="30"/>
      <c r="E49" s="31"/>
      <c r="F49" s="32"/>
      <c r="G49" s="32"/>
      <c r="H49" s="32"/>
      <c r="I49" s="33"/>
      <c r="J49" s="32"/>
      <c r="K49" s="32"/>
      <c r="L49" s="32"/>
    </row>
    <row r="50" spans="1:12">
      <c r="A50" s="1"/>
      <c r="D50" s="30"/>
      <c r="E50" s="31"/>
      <c r="F50" s="32"/>
      <c r="G50" s="32"/>
      <c r="H50" s="32"/>
      <c r="I50" s="33"/>
      <c r="J50" s="32"/>
      <c r="K50" s="32"/>
      <c r="L50" s="32"/>
    </row>
    <row r="51" spans="1:12">
      <c r="A51" s="1"/>
      <c r="D51" s="30"/>
      <c r="E51" s="31"/>
      <c r="F51" s="32"/>
      <c r="G51" s="32"/>
      <c r="H51" s="32"/>
      <c r="I51" s="33"/>
      <c r="J51" s="32"/>
      <c r="K51" s="32"/>
      <c r="L51" s="32"/>
    </row>
    <row r="52" spans="1:12">
      <c r="A52" s="1"/>
      <c r="D52" s="30"/>
      <c r="E52" s="31"/>
      <c r="F52" s="32"/>
      <c r="G52" s="32"/>
      <c r="H52" s="32"/>
      <c r="I52" s="33"/>
      <c r="J52" s="32"/>
      <c r="K52" s="32"/>
      <c r="L52" s="32"/>
    </row>
    <row r="53" spans="1:12">
      <c r="A53" s="1"/>
      <c r="D53" s="30"/>
      <c r="E53" s="31"/>
      <c r="F53" s="32"/>
      <c r="G53" s="33"/>
      <c r="H53" s="32"/>
      <c r="I53" s="32"/>
      <c r="J53" s="32"/>
      <c r="K53" s="33"/>
      <c r="L53" s="32"/>
    </row>
    <row r="54" spans="1:12">
      <c r="A54" s="1"/>
      <c r="D54" s="30"/>
      <c r="E54" s="31"/>
      <c r="F54" s="32"/>
      <c r="G54" s="33"/>
      <c r="H54" s="32"/>
      <c r="I54" s="32"/>
      <c r="J54" s="32"/>
      <c r="K54" s="33"/>
      <c r="L54" s="32"/>
    </row>
    <row r="55" spans="1:12">
      <c r="A55" s="1"/>
      <c r="D55" s="30"/>
      <c r="E55" s="31"/>
      <c r="F55" s="33"/>
      <c r="G55" s="32"/>
      <c r="H55" s="32"/>
      <c r="I55" s="32"/>
      <c r="J55" s="33"/>
      <c r="K55" s="32"/>
      <c r="L55" s="32"/>
    </row>
    <row r="56" spans="1:12">
      <c r="A56" s="1"/>
      <c r="D56" s="30"/>
      <c r="E56" s="31"/>
      <c r="F56" s="32"/>
      <c r="G56" s="33"/>
      <c r="H56" s="32"/>
      <c r="I56" s="32"/>
      <c r="J56" s="32"/>
      <c r="K56" s="33"/>
      <c r="L56" s="32"/>
    </row>
    <row r="57" spans="1:12">
      <c r="A57" s="1"/>
      <c r="D57" s="30"/>
      <c r="E57" s="34"/>
      <c r="F57" s="35"/>
      <c r="G57" s="35"/>
      <c r="H57" s="32"/>
      <c r="I57" s="35"/>
      <c r="J57" s="35"/>
      <c r="K57" s="33"/>
      <c r="L57" s="32"/>
    </row>
    <row r="58" spans="1:12">
      <c r="A58" s="1"/>
      <c r="D58" s="30"/>
      <c r="E58" s="31"/>
      <c r="F58" s="32"/>
      <c r="G58" s="32"/>
      <c r="H58" s="32"/>
      <c r="I58" s="32"/>
      <c r="J58" s="33"/>
      <c r="K58" s="32"/>
      <c r="L58" s="32"/>
    </row>
    <row r="59" spans="1:12">
      <c r="A59" s="1"/>
      <c r="D59" s="30"/>
      <c r="E59" s="5"/>
      <c r="F59" s="5"/>
      <c r="G59" s="5"/>
      <c r="H59" s="5"/>
      <c r="I59" s="5"/>
      <c r="J59" s="5"/>
      <c r="K59" s="5"/>
      <c r="L59" s="5"/>
    </row>
    <row r="60" spans="1:12">
      <c r="A60" s="1"/>
      <c r="D60" s="30"/>
      <c r="E60" s="31"/>
      <c r="F60" s="32"/>
      <c r="G60" s="32"/>
      <c r="H60" s="32"/>
      <c r="I60" s="32"/>
      <c r="J60" s="32"/>
      <c r="K60" s="32"/>
      <c r="L60" s="32"/>
    </row>
    <row r="61" spans="1:12">
      <c r="A61" s="1"/>
      <c r="D61" s="30"/>
      <c r="E61" s="31"/>
      <c r="F61" s="33"/>
      <c r="G61" s="32"/>
      <c r="H61" s="32"/>
      <c r="I61" s="32"/>
      <c r="J61" s="33"/>
      <c r="K61" s="32"/>
      <c r="L61" s="32"/>
    </row>
    <row r="62" spans="1:12">
      <c r="A62" s="1"/>
      <c r="D62" s="30"/>
      <c r="E62" s="31"/>
      <c r="F62" s="33"/>
      <c r="G62" s="32"/>
      <c r="H62" s="32"/>
      <c r="I62" s="32"/>
      <c r="J62" s="33"/>
      <c r="K62" s="32"/>
      <c r="L62" s="32"/>
    </row>
    <row r="63" spans="1:12">
      <c r="D63" s="30"/>
      <c r="E63" s="31"/>
      <c r="F63" s="32"/>
      <c r="G63" s="32"/>
      <c r="H63" s="32"/>
      <c r="I63" s="33"/>
      <c r="J63" s="32"/>
      <c r="K63" s="32"/>
      <c r="L63" s="32"/>
    </row>
    <row r="64" spans="1:12">
      <c r="E64" s="35"/>
      <c r="F64" s="35"/>
      <c r="G64" s="35"/>
      <c r="H64" s="32"/>
      <c r="I64" s="33"/>
      <c r="J64" s="35"/>
      <c r="K64" s="35"/>
      <c r="L64" s="32"/>
    </row>
    <row r="65" spans="5:12">
      <c r="E65" s="32"/>
      <c r="F65" s="32"/>
      <c r="G65" s="32"/>
      <c r="H65" s="32"/>
      <c r="I65" s="33"/>
      <c r="J65" s="32"/>
      <c r="K65" s="32"/>
      <c r="L65" s="32"/>
    </row>
    <row r="66" spans="5:12">
      <c r="E66" s="5"/>
      <c r="F66" s="5"/>
      <c r="G66" s="5"/>
      <c r="H66" s="5"/>
      <c r="I66" s="5"/>
      <c r="J66" s="5"/>
      <c r="K66" s="5"/>
      <c r="L66" s="5"/>
    </row>
    <row r="67" spans="5:12">
      <c r="E67" s="32"/>
      <c r="F67" s="32"/>
      <c r="G67" s="32"/>
      <c r="H67" s="32"/>
      <c r="I67" s="32"/>
      <c r="J67" s="32"/>
      <c r="K67" s="32"/>
      <c r="L67" s="32"/>
    </row>
    <row r="68" spans="5:12">
      <c r="E68" s="32"/>
      <c r="F68" s="33"/>
      <c r="G68" s="32"/>
      <c r="H68" s="32"/>
      <c r="I68" s="32"/>
      <c r="J68" s="33"/>
      <c r="K68" s="32"/>
      <c r="L68" s="32"/>
    </row>
    <row r="69" spans="5:12">
      <c r="E69" s="32"/>
      <c r="F69" s="33"/>
      <c r="G69" s="32"/>
      <c r="H69" s="32"/>
      <c r="I69" s="32"/>
      <c r="J69" s="33"/>
      <c r="K69" s="32"/>
      <c r="L69" s="32"/>
    </row>
    <row r="70" spans="5:12">
      <c r="E70" s="32"/>
      <c r="F70" s="32"/>
      <c r="G70" s="33"/>
      <c r="H70" s="32"/>
      <c r="I70" s="32"/>
      <c r="J70" s="32"/>
      <c r="K70" s="33"/>
      <c r="L70" s="32"/>
    </row>
    <row r="71" spans="5:12">
      <c r="E71" s="5"/>
      <c r="F71" s="5"/>
      <c r="G71" s="5"/>
      <c r="H71" s="5"/>
      <c r="I71" s="1"/>
      <c r="J71" s="1"/>
      <c r="K71" s="1"/>
      <c r="L71" s="5"/>
    </row>
    <row r="72" spans="5:12">
      <c r="E72" s="5"/>
      <c r="F72" s="5"/>
      <c r="G72" s="5"/>
      <c r="H72" s="6"/>
      <c r="I72" s="5"/>
      <c r="J72" s="5"/>
      <c r="K72" s="5"/>
      <c r="L72" s="6"/>
    </row>
    <row r="73" spans="5:12">
      <c r="E73" s="32"/>
      <c r="F73" s="32"/>
      <c r="G73" s="32"/>
      <c r="H73" s="32"/>
      <c r="I73" s="32"/>
      <c r="J73" s="32"/>
      <c r="K73" s="32"/>
      <c r="L73" s="32"/>
    </row>
  </sheetData>
  <mergeCells count="10">
    <mergeCell ref="R2:U3"/>
    <mergeCell ref="A2:A4"/>
    <mergeCell ref="B2:C2"/>
    <mergeCell ref="D3:E3"/>
    <mergeCell ref="B3:B4"/>
    <mergeCell ref="C3:C4"/>
    <mergeCell ref="D2:E2"/>
    <mergeCell ref="F2:I3"/>
    <mergeCell ref="J2:M3"/>
    <mergeCell ref="N2:Q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85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5" sqref="A5"/>
    </sheetView>
  </sheetViews>
  <sheetFormatPr defaultRowHeight="21.75"/>
  <cols>
    <col min="1" max="1" width="35.375" style="17" customWidth="1"/>
    <col min="2" max="2" width="8.375" style="29" customWidth="1"/>
    <col min="3" max="3" width="9" style="29"/>
    <col min="4" max="4" width="9.375" style="29" bestFit="1" customWidth="1"/>
    <col min="5" max="5" width="12.875" style="36" bestFit="1" customWidth="1"/>
    <col min="6" max="12" width="9" style="36"/>
    <col min="13" max="21" width="9" style="29"/>
    <col min="22" max="16384" width="9" style="17"/>
  </cols>
  <sheetData>
    <row r="1" spans="1:24" s="2" customFormat="1" ht="27.75">
      <c r="A1" s="2" t="s">
        <v>149</v>
      </c>
      <c r="B1" s="14">
        <f>'ป1-สนอ.'!C2</f>
        <v>0</v>
      </c>
      <c r="D1" s="12"/>
      <c r="F1" s="16"/>
      <c r="G1" s="16"/>
      <c r="H1" s="16"/>
      <c r="I1" s="16"/>
      <c r="J1" s="16"/>
      <c r="K1" s="16"/>
      <c r="L1" s="16"/>
      <c r="M1" s="12"/>
      <c r="N1" s="12"/>
      <c r="O1" s="12"/>
      <c r="P1" s="12"/>
      <c r="Q1" s="12"/>
      <c r="R1" s="12"/>
      <c r="S1" s="12"/>
      <c r="T1" s="12"/>
      <c r="U1" s="12"/>
    </row>
    <row r="2" spans="1:24">
      <c r="A2" s="641" t="s">
        <v>119</v>
      </c>
      <c r="B2" s="644" t="s">
        <v>120</v>
      </c>
      <c r="C2" s="645"/>
      <c r="D2" s="646" t="s">
        <v>121</v>
      </c>
      <c r="E2" s="646"/>
      <c r="F2" s="647" t="s">
        <v>113</v>
      </c>
      <c r="G2" s="648"/>
      <c r="H2" s="648"/>
      <c r="I2" s="649"/>
      <c r="J2" s="647" t="s">
        <v>114</v>
      </c>
      <c r="K2" s="648"/>
      <c r="L2" s="648"/>
      <c r="M2" s="649"/>
      <c r="N2" s="647" t="s">
        <v>122</v>
      </c>
      <c r="O2" s="648"/>
      <c r="P2" s="648"/>
      <c r="Q2" s="649"/>
      <c r="R2" s="633" t="s">
        <v>123</v>
      </c>
      <c r="S2" s="634"/>
      <c r="T2" s="634"/>
      <c r="U2" s="635"/>
    </row>
    <row r="3" spans="1:24" ht="21.75" customHeight="1">
      <c r="A3" s="642"/>
      <c r="B3" s="653" t="s">
        <v>124</v>
      </c>
      <c r="C3" s="653" t="s">
        <v>125</v>
      </c>
      <c r="D3" s="639">
        <f>B1</f>
        <v>0</v>
      </c>
      <c r="E3" s="640"/>
      <c r="F3" s="650"/>
      <c r="G3" s="651"/>
      <c r="H3" s="651"/>
      <c r="I3" s="652"/>
      <c r="J3" s="650"/>
      <c r="K3" s="651"/>
      <c r="L3" s="651"/>
      <c r="M3" s="652"/>
      <c r="N3" s="650"/>
      <c r="O3" s="651"/>
      <c r="P3" s="651"/>
      <c r="Q3" s="652"/>
      <c r="R3" s="636"/>
      <c r="S3" s="637"/>
      <c r="T3" s="637"/>
      <c r="U3" s="638"/>
    </row>
    <row r="4" spans="1:24" ht="43.5">
      <c r="A4" s="643"/>
      <c r="B4" s="654"/>
      <c r="C4" s="654"/>
      <c r="D4" s="13" t="s">
        <v>124</v>
      </c>
      <c r="E4" s="13" t="s">
        <v>126</v>
      </c>
      <c r="F4" s="3" t="s">
        <v>115</v>
      </c>
      <c r="G4" s="3" t="s">
        <v>116</v>
      </c>
      <c r="H4" s="3" t="s">
        <v>117</v>
      </c>
      <c r="I4" s="3" t="s">
        <v>108</v>
      </c>
      <c r="J4" s="3" t="s">
        <v>115</v>
      </c>
      <c r="K4" s="3" t="s">
        <v>116</v>
      </c>
      <c r="L4" s="3" t="s">
        <v>117</v>
      </c>
      <c r="M4" s="3" t="s">
        <v>108</v>
      </c>
      <c r="N4" s="3" t="s">
        <v>115</v>
      </c>
      <c r="O4" s="3" t="s">
        <v>116</v>
      </c>
      <c r="P4" s="3" t="s">
        <v>117</v>
      </c>
      <c r="Q4" s="3" t="s">
        <v>108</v>
      </c>
      <c r="R4" s="3" t="s">
        <v>115</v>
      </c>
      <c r="S4" s="3" t="s">
        <v>116</v>
      </c>
      <c r="T4" s="3" t="s">
        <v>117</v>
      </c>
      <c r="U4" s="4" t="s">
        <v>108</v>
      </c>
    </row>
    <row r="5" spans="1:24" s="20" customFormat="1" ht="43.5">
      <c r="A5" s="7" t="str">
        <f>ป5!A10:B10</f>
        <v>1. มาตรฐานด้านศักยภาพและความพร้อมในการจัดการศึกษา</v>
      </c>
      <c r="B5" s="8"/>
      <c r="C5" s="8"/>
      <c r="D5" s="11"/>
      <c r="E5" s="11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9"/>
      <c r="W5" s="19"/>
      <c r="X5" s="19"/>
    </row>
    <row r="6" spans="1:24" s="63" customFormat="1" ht="27.75">
      <c r="A6" s="64" t="str">
        <f>ป5!B11</f>
        <v>(1) ด้านกายภาพ</v>
      </c>
      <c r="B6" s="59"/>
      <c r="C6" s="59"/>
      <c r="D6" s="60"/>
      <c r="E6" s="6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2"/>
      <c r="W6" s="62"/>
      <c r="X6" s="62"/>
    </row>
    <row r="7" spans="1:24" s="25" customFormat="1" ht="27.75">
      <c r="A7" s="10" t="s">
        <v>128</v>
      </c>
      <c r="B7" s="55">
        <v>0</v>
      </c>
      <c r="C7" s="55">
        <v>0</v>
      </c>
      <c r="D7" s="41">
        <v>0</v>
      </c>
      <c r="E7" s="41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24"/>
      <c r="W7" s="24"/>
      <c r="X7" s="24"/>
    </row>
    <row r="8" spans="1:24" s="63" customFormat="1" ht="27.75">
      <c r="A8" s="64" t="str">
        <f>ป5!B12</f>
        <v>(2) ด้านวิชาการ</v>
      </c>
      <c r="B8" s="59"/>
      <c r="C8" s="59"/>
      <c r="D8" s="60"/>
      <c r="E8" s="60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2"/>
      <c r="W8" s="62"/>
      <c r="X8" s="62"/>
    </row>
    <row r="9" spans="1:24" s="25" customFormat="1" ht="27.75">
      <c r="A9" s="10" t="s">
        <v>128</v>
      </c>
      <c r="B9" s="55">
        <v>0</v>
      </c>
      <c r="C9" s="55">
        <v>0</v>
      </c>
      <c r="D9" s="41">
        <v>0</v>
      </c>
      <c r="E9" s="41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24"/>
      <c r="W9" s="24"/>
      <c r="X9" s="24"/>
    </row>
    <row r="10" spans="1:24" s="63" customFormat="1" ht="27.75">
      <c r="A10" s="64" t="str">
        <f>ป5!B13</f>
        <v>(3) ด้านการเงิน</v>
      </c>
      <c r="B10" s="59"/>
      <c r="C10" s="59"/>
      <c r="D10" s="60"/>
      <c r="E10" s="60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2"/>
      <c r="W10" s="62"/>
      <c r="X10" s="62"/>
    </row>
    <row r="11" spans="1:24" ht="27.75">
      <c r="A11" s="9" t="str">
        <f>เป้าหมาย!A45</f>
        <v>ตัวบ่งชี้ที่ 8.1 ระบบและกลไกการเงินและงบประมาณ</v>
      </c>
      <c r="B11" s="57">
        <v>1</v>
      </c>
      <c r="C11" s="57">
        <v>1</v>
      </c>
      <c r="D11" s="44">
        <f>'ป1-สนอ.'!F60</f>
        <v>2</v>
      </c>
      <c r="E11" s="15">
        <f>D11</f>
        <v>2</v>
      </c>
      <c r="F11" s="15"/>
      <c r="G11" s="15">
        <f>D11</f>
        <v>2</v>
      </c>
      <c r="H11" s="15"/>
      <c r="I11" s="38">
        <f>SUM(F11:H11)</f>
        <v>2</v>
      </c>
      <c r="J11" s="15"/>
      <c r="K11" s="15">
        <f>E11</f>
        <v>2</v>
      </c>
      <c r="L11" s="15"/>
      <c r="M11" s="38">
        <f>SUM(J11:L11)</f>
        <v>2</v>
      </c>
      <c r="N11" s="51"/>
      <c r="O11" s="51">
        <v>1</v>
      </c>
      <c r="P11" s="51"/>
      <c r="Q11" s="46">
        <f>SUM(N11:P11)</f>
        <v>1</v>
      </c>
      <c r="R11" s="51"/>
      <c r="S11" s="51">
        <v>1</v>
      </c>
      <c r="T11" s="51"/>
      <c r="U11" s="46">
        <f>SUM(R11:T11)</f>
        <v>1</v>
      </c>
      <c r="V11" s="2"/>
      <c r="W11" s="2"/>
      <c r="X11" s="2"/>
    </row>
    <row r="12" spans="1:24" s="25" customFormat="1" ht="27.75">
      <c r="A12" s="10" t="s">
        <v>128</v>
      </c>
      <c r="B12" s="55">
        <f>SUM(B11)</f>
        <v>1</v>
      </c>
      <c r="C12" s="55">
        <f>SUM(C11)</f>
        <v>1</v>
      </c>
      <c r="D12" s="41">
        <f>SUM(D11)/B12</f>
        <v>2</v>
      </c>
      <c r="E12" s="41">
        <f>SUM(E11)/C12</f>
        <v>2</v>
      </c>
      <c r="F12" s="23" t="e">
        <f t="shared" ref="F12:M12" si="0">SUM(F11)/N12</f>
        <v>#DIV/0!</v>
      </c>
      <c r="G12" s="23">
        <f t="shared" si="0"/>
        <v>2</v>
      </c>
      <c r="H12" s="23" t="e">
        <f t="shared" si="0"/>
        <v>#DIV/0!</v>
      </c>
      <c r="I12" s="23">
        <f t="shared" si="0"/>
        <v>2</v>
      </c>
      <c r="J12" s="23" t="e">
        <f t="shared" si="0"/>
        <v>#DIV/0!</v>
      </c>
      <c r="K12" s="23">
        <f t="shared" si="0"/>
        <v>2</v>
      </c>
      <c r="L12" s="23" t="e">
        <f t="shared" si="0"/>
        <v>#DIV/0!</v>
      </c>
      <c r="M12" s="23">
        <f t="shared" si="0"/>
        <v>2</v>
      </c>
      <c r="N12" s="49">
        <f t="shared" ref="N12:U12" si="1">SUM(N11)</f>
        <v>0</v>
      </c>
      <c r="O12" s="49">
        <f t="shared" si="1"/>
        <v>1</v>
      </c>
      <c r="P12" s="49">
        <f t="shared" si="1"/>
        <v>0</v>
      </c>
      <c r="Q12" s="49">
        <f t="shared" si="1"/>
        <v>1</v>
      </c>
      <c r="R12" s="49">
        <f t="shared" si="1"/>
        <v>0</v>
      </c>
      <c r="S12" s="49">
        <f t="shared" si="1"/>
        <v>1</v>
      </c>
      <c r="T12" s="49">
        <f t="shared" si="1"/>
        <v>0</v>
      </c>
      <c r="U12" s="49">
        <f t="shared" si="1"/>
        <v>1</v>
      </c>
      <c r="V12" s="24"/>
      <c r="W12" s="24"/>
      <c r="X12" s="24"/>
    </row>
    <row r="13" spans="1:24" s="63" customFormat="1" ht="27.75">
      <c r="A13" s="64" t="str">
        <f>ป5!B14</f>
        <v>(4) ด้านการบริหารจัดการ</v>
      </c>
      <c r="B13" s="59"/>
      <c r="C13" s="59"/>
      <c r="D13" s="60"/>
      <c r="E13" s="60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2"/>
      <c r="W13" s="62"/>
      <c r="X13" s="62"/>
    </row>
    <row r="14" spans="1:24" s="22" customFormat="1" ht="27.75">
      <c r="A14" s="9" t="str">
        <f>เป้าหมาย!A6</f>
        <v xml:space="preserve">ตัวบ่งชี้ที่ 1.1 กระบวนการพัฒนาแผน  </v>
      </c>
      <c r="B14" s="54" t="e">
        <f>เป้าหมาย!#REF!</f>
        <v>#REF!</v>
      </c>
      <c r="C14" s="54">
        <v>1</v>
      </c>
      <c r="D14" s="39">
        <f>'ป1-สนอ.'!F16</f>
        <v>4</v>
      </c>
      <c r="E14" s="39">
        <f>'ป1-สนอ.'!F16</f>
        <v>4</v>
      </c>
      <c r="F14" s="15"/>
      <c r="G14" s="15">
        <f>D14</f>
        <v>4</v>
      </c>
      <c r="H14" s="15"/>
      <c r="I14" s="38">
        <f t="shared" ref="I14:I26" si="2">SUM(F14:H14)</f>
        <v>4</v>
      </c>
      <c r="J14" s="15"/>
      <c r="K14" s="15">
        <f>E14</f>
        <v>4</v>
      </c>
      <c r="L14" s="15"/>
      <c r="M14" s="38">
        <f t="shared" ref="M14:M26" si="3">SUM(J14:L14)</f>
        <v>4</v>
      </c>
      <c r="N14" s="48"/>
      <c r="O14" s="48">
        <v>1</v>
      </c>
      <c r="P14" s="48"/>
      <c r="Q14" s="46">
        <f t="shared" ref="Q14:Q26" si="4">SUM(N14:P14)</f>
        <v>1</v>
      </c>
      <c r="R14" s="48"/>
      <c r="S14" s="48">
        <v>1</v>
      </c>
      <c r="T14" s="48"/>
      <c r="U14" s="46">
        <f t="shared" ref="U14:U26" si="5">SUM(R14:T14)</f>
        <v>1</v>
      </c>
      <c r="V14" s="21"/>
      <c r="W14" s="21"/>
      <c r="X14" s="21"/>
    </row>
    <row r="15" spans="1:24" s="209" customFormat="1" ht="43.5">
      <c r="A15" s="237" t="str">
        <f>เป้าหมาย!A8</f>
        <v>ตัวบ่งชี้ที่ 1.2.1  ระดับความพึงพอใจของผู้รับบริการต่อการให้บริการของสำนักงานอธิการบดี</v>
      </c>
      <c r="B15" s="205"/>
      <c r="C15" s="206">
        <v>1</v>
      </c>
      <c r="D15" s="207"/>
      <c r="E15" s="346">
        <f>+'ป1-สนอ.'!F19</f>
        <v>4</v>
      </c>
      <c r="F15" s="190"/>
      <c r="G15" s="190"/>
      <c r="H15" s="190"/>
      <c r="I15" s="191">
        <f t="shared" si="2"/>
        <v>0</v>
      </c>
      <c r="J15" s="190"/>
      <c r="K15" s="190"/>
      <c r="L15" s="190">
        <f>+E15</f>
        <v>4</v>
      </c>
      <c r="M15" s="191">
        <f t="shared" si="3"/>
        <v>4</v>
      </c>
      <c r="N15" s="192"/>
      <c r="O15" s="192"/>
      <c r="P15" s="192"/>
      <c r="Q15" s="193">
        <f t="shared" si="4"/>
        <v>0</v>
      </c>
      <c r="R15" s="192"/>
      <c r="S15" s="192"/>
      <c r="T15" s="48">
        <v>1</v>
      </c>
      <c r="U15" s="193">
        <f t="shared" si="5"/>
        <v>1</v>
      </c>
      <c r="V15" s="208"/>
      <c r="W15" s="208"/>
      <c r="X15" s="208"/>
    </row>
    <row r="16" spans="1:24" s="209" customFormat="1" ht="43.5">
      <c r="A16" s="237" t="str">
        <f>เป้าหมาย!A9</f>
        <v>ตัวบ่งชี้ที่ 1.2.2 ร้อยละเฉลี่ยของบุคลากรที่เข้าร่วมกิจกรรมสาธารณประโยชน์ที่สำนักงานอธิการบดีจัดขึ้น</v>
      </c>
      <c r="B16" s="205"/>
      <c r="C16" s="206">
        <v>1</v>
      </c>
      <c r="D16" s="207"/>
      <c r="E16" s="346">
        <f>+'ป1-สนอ.'!F21</f>
        <v>5</v>
      </c>
      <c r="F16" s="190"/>
      <c r="G16" s="190"/>
      <c r="H16" s="190"/>
      <c r="I16" s="191">
        <f t="shared" si="2"/>
        <v>0</v>
      </c>
      <c r="J16" s="190"/>
      <c r="K16" s="190"/>
      <c r="L16" s="190">
        <f t="shared" ref="L16:L17" si="6">+E16</f>
        <v>5</v>
      </c>
      <c r="M16" s="191">
        <f t="shared" si="3"/>
        <v>5</v>
      </c>
      <c r="N16" s="192"/>
      <c r="O16" s="192"/>
      <c r="P16" s="192"/>
      <c r="Q16" s="193">
        <f t="shared" si="4"/>
        <v>0</v>
      </c>
      <c r="R16" s="192"/>
      <c r="S16" s="192"/>
      <c r="T16" s="48">
        <v>1</v>
      </c>
      <c r="U16" s="193">
        <f t="shared" si="5"/>
        <v>1</v>
      </c>
      <c r="V16" s="208"/>
      <c r="W16" s="208"/>
      <c r="X16" s="208"/>
    </row>
    <row r="17" spans="1:24" s="209" customFormat="1" ht="65.25">
      <c r="A17" s="237" t="str">
        <f>เป้าหมาย!A10</f>
        <v>ตัวบ่งชี้ที่ 1.2.3 จำนวนหน่วยงานของสำนักงานอธิการบดีที่ได้มีการแลกเปลี่ยนเรียนรู้ร่วมกับหน่วยงานอื่น</v>
      </c>
      <c r="B17" s="205"/>
      <c r="C17" s="206">
        <v>1</v>
      </c>
      <c r="D17" s="207"/>
      <c r="E17" s="346">
        <f>+'ป1-สนอ.'!F24</f>
        <v>5</v>
      </c>
      <c r="F17" s="190"/>
      <c r="G17" s="190"/>
      <c r="H17" s="190"/>
      <c r="I17" s="191">
        <f t="shared" si="2"/>
        <v>0</v>
      </c>
      <c r="J17" s="190"/>
      <c r="K17" s="190"/>
      <c r="L17" s="190">
        <f t="shared" si="6"/>
        <v>5</v>
      </c>
      <c r="M17" s="191">
        <f t="shared" si="3"/>
        <v>5</v>
      </c>
      <c r="N17" s="192"/>
      <c r="O17" s="192"/>
      <c r="P17" s="192"/>
      <c r="Q17" s="193">
        <f t="shared" si="4"/>
        <v>0</v>
      </c>
      <c r="R17" s="192"/>
      <c r="S17" s="192"/>
      <c r="T17" s="48">
        <v>1</v>
      </c>
      <c r="U17" s="193">
        <f t="shared" si="5"/>
        <v>1</v>
      </c>
      <c r="V17" s="208"/>
      <c r="W17" s="208"/>
      <c r="X17" s="208"/>
    </row>
    <row r="18" spans="1:24" ht="65.25">
      <c r="A18" s="9" t="str">
        <f>เป้าหมาย!A23</f>
        <v>ตัวบ่งชี้ที่ 7.1  ภาวะผู้นำของสภามหาวิทยาลัย/คณะกรรมการบริหารฯ และผู้บริหารทุกระดับของมหาวิทยาลัย/หน่วยงาน</v>
      </c>
      <c r="B18" s="57">
        <v>1</v>
      </c>
      <c r="C18" s="57">
        <v>1</v>
      </c>
      <c r="D18" s="15">
        <f>'ป1-สนอ.'!F40</f>
        <v>3</v>
      </c>
      <c r="E18" s="15">
        <f>D18</f>
        <v>3</v>
      </c>
      <c r="F18" s="15"/>
      <c r="G18" s="15">
        <f>D18</f>
        <v>3</v>
      </c>
      <c r="H18" s="15"/>
      <c r="I18" s="38">
        <f t="shared" si="2"/>
        <v>3</v>
      </c>
      <c r="J18" s="15"/>
      <c r="K18" s="15">
        <f>E18</f>
        <v>3</v>
      </c>
      <c r="L18" s="15"/>
      <c r="M18" s="38">
        <f t="shared" si="3"/>
        <v>3</v>
      </c>
      <c r="N18" s="51"/>
      <c r="O18" s="51">
        <v>1</v>
      </c>
      <c r="P18" s="51"/>
      <c r="Q18" s="46">
        <f t="shared" si="4"/>
        <v>1</v>
      </c>
      <c r="R18" s="51"/>
      <c r="S18" s="51">
        <v>1</v>
      </c>
      <c r="T18" s="51"/>
      <c r="U18" s="46">
        <f t="shared" si="5"/>
        <v>1</v>
      </c>
      <c r="V18" s="2"/>
      <c r="W18" s="2"/>
      <c r="X18" s="2"/>
    </row>
    <row r="19" spans="1:24" ht="43.5">
      <c r="A19" s="9" t="str">
        <f>เป้าหมาย!A24</f>
        <v>ตัวบ่งชี้ที่ 7.2 การพัฒนามหาวิทยาลัย/หน่วยงานสู่มหาวิทยาลัย/หน่วยงานเรียนรู้</v>
      </c>
      <c r="B19" s="57">
        <v>1</v>
      </c>
      <c r="C19" s="57">
        <v>1</v>
      </c>
      <c r="D19" s="44">
        <f>'ป1-สนอ.'!F42</f>
        <v>5</v>
      </c>
      <c r="E19" s="15">
        <f>D19</f>
        <v>5</v>
      </c>
      <c r="F19" s="15"/>
      <c r="G19" s="15">
        <f>D19</f>
        <v>5</v>
      </c>
      <c r="H19" s="15"/>
      <c r="I19" s="38">
        <f t="shared" si="2"/>
        <v>5</v>
      </c>
      <c r="J19" s="15"/>
      <c r="K19" s="15">
        <f>E19</f>
        <v>5</v>
      </c>
      <c r="L19" s="15"/>
      <c r="M19" s="38">
        <f t="shared" si="3"/>
        <v>5</v>
      </c>
      <c r="N19" s="51"/>
      <c r="O19" s="51">
        <v>1</v>
      </c>
      <c r="P19" s="51"/>
      <c r="Q19" s="46">
        <f t="shared" si="4"/>
        <v>1</v>
      </c>
      <c r="R19" s="51"/>
      <c r="S19" s="51">
        <v>1</v>
      </c>
      <c r="T19" s="51"/>
      <c r="U19" s="46">
        <f t="shared" si="5"/>
        <v>1</v>
      </c>
      <c r="V19" s="2"/>
      <c r="W19" s="2"/>
      <c r="X19" s="2"/>
    </row>
    <row r="20" spans="1:24" ht="43.5">
      <c r="A20" s="9" t="str">
        <f>เป้าหมาย!A25</f>
        <v>ตัวบ่งชี้ที่ 7.3 ระบบสารสนเทศเพื่อการบริหารและการตัดสินใจ</v>
      </c>
      <c r="B20" s="57">
        <v>1</v>
      </c>
      <c r="C20" s="57">
        <v>1</v>
      </c>
      <c r="D20" s="44">
        <f>'ป1-สนอ.'!F44</f>
        <v>5</v>
      </c>
      <c r="E20" s="15">
        <f>D20</f>
        <v>5</v>
      </c>
      <c r="F20" s="15"/>
      <c r="G20" s="15">
        <f>D20</f>
        <v>5</v>
      </c>
      <c r="H20" s="15"/>
      <c r="I20" s="38">
        <f t="shared" si="2"/>
        <v>5</v>
      </c>
      <c r="J20" s="15"/>
      <c r="K20" s="15">
        <f>E20</f>
        <v>5</v>
      </c>
      <c r="L20" s="15"/>
      <c r="M20" s="38">
        <f t="shared" si="3"/>
        <v>5</v>
      </c>
      <c r="N20" s="51"/>
      <c r="O20" s="51">
        <v>1</v>
      </c>
      <c r="P20" s="51"/>
      <c r="Q20" s="46">
        <f t="shared" si="4"/>
        <v>1</v>
      </c>
      <c r="R20" s="51"/>
      <c r="S20" s="51">
        <v>1</v>
      </c>
      <c r="T20" s="51"/>
      <c r="U20" s="46">
        <f t="shared" si="5"/>
        <v>1</v>
      </c>
      <c r="V20" s="2"/>
      <c r="W20" s="2"/>
      <c r="X20" s="2"/>
    </row>
    <row r="21" spans="1:24" ht="27.75">
      <c r="A21" s="9" t="str">
        <f>เป้าหมาย!A26</f>
        <v>ตัวบ่งชี้ที่ 7.4 ระบบบริหารความเสี่ยง</v>
      </c>
      <c r="B21" s="57">
        <v>1</v>
      </c>
      <c r="C21" s="57">
        <v>1</v>
      </c>
      <c r="D21" s="44">
        <f>'ป1-สนอ.'!F46</f>
        <v>5</v>
      </c>
      <c r="E21" s="15">
        <f>D21</f>
        <v>5</v>
      </c>
      <c r="F21" s="15"/>
      <c r="G21" s="15">
        <f>D21</f>
        <v>5</v>
      </c>
      <c r="H21" s="15"/>
      <c r="I21" s="38">
        <f t="shared" si="2"/>
        <v>5</v>
      </c>
      <c r="J21" s="15"/>
      <c r="K21" s="15">
        <f>E21</f>
        <v>5</v>
      </c>
      <c r="L21" s="15"/>
      <c r="M21" s="38">
        <f t="shared" si="3"/>
        <v>5</v>
      </c>
      <c r="N21" s="51"/>
      <c r="O21" s="51">
        <v>1</v>
      </c>
      <c r="P21" s="51"/>
      <c r="Q21" s="46">
        <f t="shared" si="4"/>
        <v>1</v>
      </c>
      <c r="R21" s="51"/>
      <c r="S21" s="51">
        <v>1</v>
      </c>
      <c r="T21" s="51"/>
      <c r="U21" s="46">
        <f t="shared" si="5"/>
        <v>1</v>
      </c>
      <c r="V21" s="2"/>
      <c r="W21" s="2"/>
      <c r="X21" s="2"/>
    </row>
    <row r="22" spans="1:24" ht="43.5">
      <c r="A22" s="9" t="str">
        <f>เป้าหมาย!A27</f>
        <v>ตัวบ่งชี้ 7.5.2 การปฏิบัติตามบทบาทหน้าที่ของผู้บริหารสถาบัน</v>
      </c>
      <c r="B22" s="57"/>
      <c r="C22" s="57">
        <v>1</v>
      </c>
      <c r="D22" s="44"/>
      <c r="E22" s="15">
        <f>'ป1-สนอ.'!F50</f>
        <v>3.91</v>
      </c>
      <c r="F22" s="15"/>
      <c r="G22" s="15"/>
      <c r="H22" s="15"/>
      <c r="I22" s="38">
        <f t="shared" si="2"/>
        <v>0</v>
      </c>
      <c r="J22" s="15"/>
      <c r="K22" s="15"/>
      <c r="L22" s="15">
        <f>E22</f>
        <v>3.91</v>
      </c>
      <c r="M22" s="38">
        <f t="shared" si="3"/>
        <v>3.91</v>
      </c>
      <c r="N22" s="51"/>
      <c r="O22" s="51"/>
      <c r="P22" s="51"/>
      <c r="Q22" s="46">
        <f t="shared" si="4"/>
        <v>0</v>
      </c>
      <c r="R22" s="51"/>
      <c r="S22" s="51"/>
      <c r="T22" s="51">
        <v>1</v>
      </c>
      <c r="U22" s="46">
        <f t="shared" si="5"/>
        <v>1</v>
      </c>
      <c r="V22" s="2"/>
      <c r="W22" s="2"/>
      <c r="X22" s="2"/>
    </row>
    <row r="23" spans="1:24" s="200" customFormat="1" ht="47.25" customHeight="1">
      <c r="A23" s="238" t="str">
        <f>+เป้าหมาย!A29</f>
        <v>ตัวบ่งชี้ 7.6.1 ระบบพัฒนาบุคลากร</v>
      </c>
      <c r="B23" s="236"/>
      <c r="C23" s="224">
        <v>1</v>
      </c>
      <c r="D23" s="196"/>
      <c r="E23" s="15">
        <f>+'ป1-สนอ.'!F51</f>
        <v>5</v>
      </c>
      <c r="F23" s="196"/>
      <c r="G23" s="196"/>
      <c r="H23" s="196"/>
      <c r="I23" s="38">
        <f t="shared" si="2"/>
        <v>0</v>
      </c>
      <c r="J23" s="196"/>
      <c r="K23" s="15">
        <f>+E23</f>
        <v>5</v>
      </c>
      <c r="L23" s="15"/>
      <c r="M23" s="38">
        <f t="shared" ref="M23:M25" si="7">SUM(J23:L23)</f>
        <v>5</v>
      </c>
      <c r="N23" s="197"/>
      <c r="O23" s="197"/>
      <c r="P23" s="197"/>
      <c r="Q23" s="198">
        <f t="shared" si="4"/>
        <v>0</v>
      </c>
      <c r="R23" s="197"/>
      <c r="S23" s="197">
        <v>1</v>
      </c>
      <c r="T23" s="197"/>
      <c r="U23" s="198">
        <f>SUM(R23:T23)</f>
        <v>1</v>
      </c>
      <c r="V23" s="199"/>
      <c r="W23" s="199"/>
      <c r="X23" s="199"/>
    </row>
    <row r="24" spans="1:24" s="200" customFormat="1" ht="47.25" customHeight="1">
      <c r="A24" s="238" t="str">
        <f>+เป้าหมาย!A30</f>
        <v>ตัวบ่งชี้ 7.6.2 ระดับความพึงพอใจของบุคลากรทุกระดับต่อกระบวนการพัฒนาความรู้และทักษะของสำนักงานอธิการบดี</v>
      </c>
      <c r="B24" s="236"/>
      <c r="C24" s="224">
        <v>1</v>
      </c>
      <c r="D24" s="196"/>
      <c r="E24" s="15">
        <f>+'ป1-สนอ.'!F53</f>
        <v>4</v>
      </c>
      <c r="F24" s="196"/>
      <c r="G24" s="196"/>
      <c r="H24" s="196"/>
      <c r="I24" s="38"/>
      <c r="J24" s="196"/>
      <c r="K24" s="15"/>
      <c r="L24" s="15">
        <f t="shared" ref="L24:L25" si="8">E24</f>
        <v>4</v>
      </c>
      <c r="M24" s="38">
        <f t="shared" si="7"/>
        <v>4</v>
      </c>
      <c r="N24" s="51"/>
      <c r="O24" s="51"/>
      <c r="P24" s="51"/>
      <c r="Q24" s="46">
        <f t="shared" ref="Q24:Q25" si="9">SUM(N24:P24)</f>
        <v>0</v>
      </c>
      <c r="R24" s="51"/>
      <c r="S24" s="51"/>
      <c r="T24" s="51">
        <v>1</v>
      </c>
      <c r="U24" s="46">
        <f t="shared" ref="U24:U25" si="10">SUM(R24:T24)</f>
        <v>1</v>
      </c>
      <c r="V24" s="199"/>
      <c r="W24" s="199"/>
      <c r="X24" s="199"/>
    </row>
    <row r="25" spans="1:24" s="200" customFormat="1" ht="47.25" customHeight="1">
      <c r="A25" s="238" t="str">
        <f>+เป้าหมาย!A31</f>
        <v>ตัวบ่งชี้ที่ 7.6.3 ร้อยละของบุคลากรที่ได้รับการพัฒนาความรู้และทักษะ</v>
      </c>
      <c r="B25" s="236"/>
      <c r="C25" s="224">
        <v>1</v>
      </c>
      <c r="D25" s="196"/>
      <c r="E25" s="15">
        <f>+'ป1-สนอ.'!F56</f>
        <v>5</v>
      </c>
      <c r="F25" s="196"/>
      <c r="G25" s="196"/>
      <c r="H25" s="196"/>
      <c r="I25" s="38"/>
      <c r="J25" s="196"/>
      <c r="K25" s="15"/>
      <c r="L25" s="15">
        <f t="shared" si="8"/>
        <v>5</v>
      </c>
      <c r="M25" s="38">
        <f t="shared" si="7"/>
        <v>5</v>
      </c>
      <c r="N25" s="51"/>
      <c r="O25" s="51"/>
      <c r="P25" s="51"/>
      <c r="Q25" s="46">
        <f t="shared" si="9"/>
        <v>0</v>
      </c>
      <c r="R25" s="51"/>
      <c r="S25" s="51"/>
      <c r="T25" s="51">
        <v>1</v>
      </c>
      <c r="U25" s="46">
        <f t="shared" si="10"/>
        <v>1</v>
      </c>
      <c r="V25" s="199"/>
      <c r="W25" s="199"/>
      <c r="X25" s="199"/>
    </row>
    <row r="26" spans="1:24" ht="43.5">
      <c r="A26" s="9" t="str">
        <f>เป้าหมาย!A47</f>
        <v>ตัวบ่งชี้ที่ 9.1 ระบบและกลไกการประกันคุณภาพการศึกษาภายใน</v>
      </c>
      <c r="B26" s="57">
        <v>1</v>
      </c>
      <c r="C26" s="57">
        <v>1</v>
      </c>
      <c r="D26" s="44">
        <f>'ป1-สนอ.'!F64</f>
        <v>4</v>
      </c>
      <c r="E26" s="15">
        <f>D26</f>
        <v>4</v>
      </c>
      <c r="F26" s="15"/>
      <c r="G26" s="15">
        <f>D26</f>
        <v>4</v>
      </c>
      <c r="H26" s="15"/>
      <c r="I26" s="38">
        <f t="shared" si="2"/>
        <v>4</v>
      </c>
      <c r="J26" s="15"/>
      <c r="K26" s="15">
        <f>E26</f>
        <v>4</v>
      </c>
      <c r="L26" s="15"/>
      <c r="M26" s="38">
        <f t="shared" si="3"/>
        <v>4</v>
      </c>
      <c r="N26" s="51"/>
      <c r="O26" s="51">
        <v>1</v>
      </c>
      <c r="P26" s="51"/>
      <c r="Q26" s="46">
        <f t="shared" si="4"/>
        <v>1</v>
      </c>
      <c r="R26" s="51"/>
      <c r="S26" s="51">
        <v>1</v>
      </c>
      <c r="T26" s="51"/>
      <c r="U26" s="46">
        <f t="shared" si="5"/>
        <v>1</v>
      </c>
      <c r="V26" s="2"/>
      <c r="W26" s="2"/>
      <c r="X26" s="2"/>
    </row>
    <row r="27" spans="1:24" s="25" customFormat="1" ht="27.75">
      <c r="A27" s="10" t="s">
        <v>128</v>
      </c>
      <c r="B27" s="55" t="e">
        <f>SUM(B14:B26)</f>
        <v>#REF!</v>
      </c>
      <c r="C27" s="55">
        <f>SUM(C14:C26)</f>
        <v>13</v>
      </c>
      <c r="D27" s="41" t="e">
        <f>SUM(D14:D26)/B27</f>
        <v>#REF!</v>
      </c>
      <c r="E27" s="41">
        <f>SUM(E14:E26)/C27</f>
        <v>4.4546153846153844</v>
      </c>
      <c r="F27" s="41" t="e">
        <f>SUM(F14:F26)/N27</f>
        <v>#DIV/0!</v>
      </c>
      <c r="G27" s="41">
        <f t="shared" ref="G27:M27" si="11">SUM(G14:G26)/O27</f>
        <v>4.333333333333333</v>
      </c>
      <c r="H27" s="41" t="e">
        <f t="shared" si="11"/>
        <v>#DIV/0!</v>
      </c>
      <c r="I27" s="41">
        <f t="shared" si="11"/>
        <v>4.333333333333333</v>
      </c>
      <c r="J27" s="41" t="e">
        <f t="shared" si="11"/>
        <v>#DIV/0!</v>
      </c>
      <c r="K27" s="41">
        <f t="shared" si="11"/>
        <v>4.4285714285714288</v>
      </c>
      <c r="L27" s="41">
        <f t="shared" si="11"/>
        <v>4.4850000000000003</v>
      </c>
      <c r="M27" s="41">
        <f t="shared" si="11"/>
        <v>4.4546153846153844</v>
      </c>
      <c r="N27" s="49">
        <f>SUM(N14:N26)</f>
        <v>0</v>
      </c>
      <c r="O27" s="49">
        <f t="shared" ref="O27:U27" si="12">SUM(O14:O26)</f>
        <v>6</v>
      </c>
      <c r="P27" s="49">
        <f t="shared" si="12"/>
        <v>0</v>
      </c>
      <c r="Q27" s="49">
        <f t="shared" si="12"/>
        <v>6</v>
      </c>
      <c r="R27" s="49">
        <f t="shared" si="12"/>
        <v>0</v>
      </c>
      <c r="S27" s="49">
        <f t="shared" si="12"/>
        <v>7</v>
      </c>
      <c r="T27" s="49">
        <f t="shared" si="12"/>
        <v>6</v>
      </c>
      <c r="U27" s="49">
        <f t="shared" si="12"/>
        <v>13</v>
      </c>
      <c r="V27" s="24"/>
      <c r="W27" s="24"/>
      <c r="X27" s="24"/>
    </row>
    <row r="28" spans="1:24" s="75" customFormat="1" ht="27.75">
      <c r="A28" s="76" t="str">
        <f>ป5!B15</f>
        <v>เฉลี่ยรวมทุกตัวบ่งชี้ของมาตรฐานที่ 1</v>
      </c>
      <c r="B28" s="72" t="e">
        <f>SUM(B27,B12,B9,B7)</f>
        <v>#REF!</v>
      </c>
      <c r="C28" s="72">
        <f>SUM(C27,C12,C9,C7)</f>
        <v>14</v>
      </c>
      <c r="D28" s="73" t="e">
        <f>SUM(D11,D14:D26)/B28</f>
        <v>#REF!</v>
      </c>
      <c r="E28" s="73">
        <f>SUM(E11,E14:E26)/C28</f>
        <v>4.2792857142857139</v>
      </c>
      <c r="F28" s="73" t="e">
        <f>SUM(F11,F14:F26)/N28</f>
        <v>#DIV/0!</v>
      </c>
      <c r="G28" s="73">
        <f t="shared" ref="G28:M28" si="13">SUM(G11,G14:G26)/O28</f>
        <v>4</v>
      </c>
      <c r="H28" s="73" t="e">
        <f t="shared" si="13"/>
        <v>#DIV/0!</v>
      </c>
      <c r="I28" s="73">
        <f t="shared" si="13"/>
        <v>4</v>
      </c>
      <c r="J28" s="73" t="e">
        <f t="shared" si="13"/>
        <v>#DIV/0!</v>
      </c>
      <c r="K28" s="73">
        <f t="shared" si="13"/>
        <v>4.125</v>
      </c>
      <c r="L28" s="73">
        <f t="shared" si="13"/>
        <v>4.4850000000000003</v>
      </c>
      <c r="M28" s="73">
        <f t="shared" si="13"/>
        <v>4.2792857142857139</v>
      </c>
      <c r="N28" s="72">
        <f t="shared" ref="N28:U28" si="14">SUM(N27,N12,N9,N7)</f>
        <v>0</v>
      </c>
      <c r="O28" s="72">
        <f t="shared" si="14"/>
        <v>7</v>
      </c>
      <c r="P28" s="72">
        <f t="shared" si="14"/>
        <v>0</v>
      </c>
      <c r="Q28" s="72">
        <f t="shared" si="14"/>
        <v>7</v>
      </c>
      <c r="R28" s="72">
        <f t="shared" si="14"/>
        <v>0</v>
      </c>
      <c r="S28" s="72">
        <f t="shared" si="14"/>
        <v>8</v>
      </c>
      <c r="T28" s="72">
        <f t="shared" si="14"/>
        <v>6</v>
      </c>
      <c r="U28" s="72">
        <f t="shared" si="14"/>
        <v>14</v>
      </c>
      <c r="V28" s="74"/>
      <c r="W28" s="74"/>
      <c r="X28" s="74"/>
    </row>
    <row r="29" spans="1:24" s="20" customFormat="1" ht="43.5">
      <c r="A29" s="7" t="str">
        <f>ป5!A16:B16</f>
        <v>2. มาตรฐานด้านการดำเนินการตามภารกิจของสถาบันอุดมศึกษา</v>
      </c>
      <c r="B29" s="56"/>
      <c r="C29" s="56"/>
      <c r="D29" s="42"/>
      <c r="E29" s="42"/>
      <c r="F29" s="26"/>
      <c r="G29" s="26"/>
      <c r="H29" s="26"/>
      <c r="I29" s="26"/>
      <c r="J29" s="26"/>
      <c r="K29" s="26"/>
      <c r="L29" s="26"/>
      <c r="M29" s="26"/>
      <c r="N29" s="50"/>
      <c r="O29" s="50"/>
      <c r="P29" s="50"/>
      <c r="Q29" s="50"/>
      <c r="R29" s="50"/>
      <c r="S29" s="50"/>
      <c r="T29" s="50"/>
      <c r="U29" s="50"/>
      <c r="V29" s="19"/>
      <c r="W29" s="19"/>
      <c r="X29" s="19"/>
    </row>
    <row r="30" spans="1:24" s="63" customFormat="1" ht="27.75">
      <c r="A30" s="64" t="str">
        <f>ป5!B17</f>
        <v>(1) ด้านการผลิตบัณฑิต</v>
      </c>
      <c r="B30" s="59"/>
      <c r="C30" s="59"/>
      <c r="D30" s="60"/>
      <c r="E30" s="60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2"/>
      <c r="W30" s="62"/>
      <c r="X30" s="62"/>
    </row>
    <row r="31" spans="1:24" s="25" customFormat="1" ht="27.75">
      <c r="A31" s="10" t="s">
        <v>128</v>
      </c>
      <c r="B31" s="55">
        <v>0</v>
      </c>
      <c r="C31" s="55">
        <v>0</v>
      </c>
      <c r="D31" s="41">
        <v>0</v>
      </c>
      <c r="E31" s="41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24"/>
      <c r="W31" s="24"/>
      <c r="X31" s="24"/>
    </row>
    <row r="32" spans="1:24" s="71" customFormat="1" ht="27.75">
      <c r="A32" s="64" t="str">
        <f>ป5!B18</f>
        <v>(2) ด้านการวิจัย</v>
      </c>
      <c r="B32" s="66"/>
      <c r="C32" s="66"/>
      <c r="D32" s="67"/>
      <c r="E32" s="68"/>
      <c r="F32" s="68"/>
      <c r="G32" s="68"/>
      <c r="H32" s="68"/>
      <c r="I32" s="68"/>
      <c r="J32" s="68"/>
      <c r="K32" s="68"/>
      <c r="L32" s="68"/>
      <c r="M32" s="67"/>
      <c r="N32" s="69"/>
      <c r="O32" s="69"/>
      <c r="P32" s="69"/>
      <c r="Q32" s="69"/>
      <c r="R32" s="69"/>
      <c r="S32" s="69"/>
      <c r="T32" s="69"/>
      <c r="U32" s="69"/>
      <c r="V32" s="70"/>
      <c r="W32" s="70"/>
      <c r="X32" s="70"/>
    </row>
    <row r="33" spans="1:24" s="25" customFormat="1" ht="27.75">
      <c r="A33" s="10" t="s">
        <v>128</v>
      </c>
      <c r="B33" s="55">
        <v>0</v>
      </c>
      <c r="C33" s="55">
        <v>0</v>
      </c>
      <c r="D33" s="41">
        <v>0</v>
      </c>
      <c r="E33" s="41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24"/>
      <c r="W33" s="24"/>
      <c r="X33" s="24"/>
    </row>
    <row r="34" spans="1:24" s="71" customFormat="1" ht="27.75">
      <c r="A34" s="64" t="str">
        <f>ป5!B19</f>
        <v>(3) ด้านการให้บริการวิชาการแก่สังคม</v>
      </c>
      <c r="B34" s="66"/>
      <c r="C34" s="66"/>
      <c r="D34" s="67"/>
      <c r="E34" s="68"/>
      <c r="F34" s="68"/>
      <c r="G34" s="68"/>
      <c r="H34" s="68"/>
      <c r="I34" s="68"/>
      <c r="J34" s="68"/>
      <c r="K34" s="68"/>
      <c r="L34" s="68"/>
      <c r="M34" s="67"/>
      <c r="N34" s="69"/>
      <c r="O34" s="69"/>
      <c r="P34" s="69"/>
      <c r="Q34" s="69"/>
      <c r="R34" s="69"/>
      <c r="S34" s="69"/>
      <c r="T34" s="69"/>
      <c r="U34" s="69"/>
      <c r="V34" s="70"/>
      <c r="W34" s="70"/>
      <c r="X34" s="70"/>
    </row>
    <row r="35" spans="1:24" s="25" customFormat="1" ht="27.75">
      <c r="A35" s="10" t="s">
        <v>128</v>
      </c>
      <c r="B35" s="55">
        <v>0</v>
      </c>
      <c r="C35" s="55">
        <v>0</v>
      </c>
      <c r="D35" s="41">
        <v>0</v>
      </c>
      <c r="E35" s="41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24"/>
      <c r="W35" s="24"/>
      <c r="X35" s="24"/>
    </row>
    <row r="36" spans="1:24" s="71" customFormat="1" ht="27.75">
      <c r="A36" s="64" t="str">
        <f>ป5!B20</f>
        <v>(4) ด้านการทำนุบำรุงศิลปวัฒนธรรม</v>
      </c>
      <c r="B36" s="66"/>
      <c r="C36" s="66"/>
      <c r="D36" s="67"/>
      <c r="E36" s="68"/>
      <c r="F36" s="68"/>
      <c r="G36" s="68"/>
      <c r="H36" s="68"/>
      <c r="I36" s="68"/>
      <c r="J36" s="68"/>
      <c r="K36" s="68"/>
      <c r="L36" s="68"/>
      <c r="M36" s="67"/>
      <c r="N36" s="69"/>
      <c r="O36" s="69"/>
      <c r="P36" s="69"/>
      <c r="Q36" s="69"/>
      <c r="R36" s="69"/>
      <c r="S36" s="69"/>
      <c r="T36" s="69"/>
      <c r="U36" s="69"/>
      <c r="V36" s="70"/>
      <c r="W36" s="70"/>
      <c r="X36" s="70"/>
    </row>
    <row r="37" spans="1:24" s="25" customFormat="1" ht="27.75">
      <c r="A37" s="10" t="s">
        <v>128</v>
      </c>
      <c r="B37" s="55">
        <v>0</v>
      </c>
      <c r="C37" s="55">
        <v>0</v>
      </c>
      <c r="D37" s="41">
        <v>0</v>
      </c>
      <c r="E37" s="41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24"/>
      <c r="W37" s="24"/>
      <c r="X37" s="24"/>
    </row>
    <row r="38" spans="1:24" s="75" customFormat="1" ht="27.75">
      <c r="A38" s="76" t="str">
        <f>ป5!B21</f>
        <v>เฉลี่ยรวมทุกตัวบ่งชี้ของมาตรฐานที่ 2</v>
      </c>
      <c r="B38" s="72">
        <f>SUM(B37,B35,B33,B31)</f>
        <v>0</v>
      </c>
      <c r="C38" s="72">
        <f>SUM(C37,C35,C33,C31)</f>
        <v>0</v>
      </c>
      <c r="D38" s="72">
        <f t="shared" ref="D38:M38" si="15">SUM(D37,D35,D33,D31)</f>
        <v>0</v>
      </c>
      <c r="E38" s="72">
        <f t="shared" si="15"/>
        <v>0</v>
      </c>
      <c r="F38" s="72">
        <f t="shared" si="15"/>
        <v>0</v>
      </c>
      <c r="G38" s="72">
        <f t="shared" si="15"/>
        <v>0</v>
      </c>
      <c r="H38" s="72">
        <f t="shared" si="15"/>
        <v>0</v>
      </c>
      <c r="I38" s="72">
        <f t="shared" si="15"/>
        <v>0</v>
      </c>
      <c r="J38" s="72">
        <f t="shared" si="15"/>
        <v>0</v>
      </c>
      <c r="K38" s="72">
        <f t="shared" si="15"/>
        <v>0</v>
      </c>
      <c r="L38" s="72">
        <f t="shared" si="15"/>
        <v>0</v>
      </c>
      <c r="M38" s="72">
        <f t="shared" si="15"/>
        <v>0</v>
      </c>
      <c r="N38" s="72">
        <f t="shared" ref="N38:U38" si="16">SUM(N37,N35,N33,N31)</f>
        <v>0</v>
      </c>
      <c r="O38" s="72">
        <f t="shared" si="16"/>
        <v>0</v>
      </c>
      <c r="P38" s="72">
        <f t="shared" si="16"/>
        <v>0</v>
      </c>
      <c r="Q38" s="72">
        <f t="shared" si="16"/>
        <v>0</v>
      </c>
      <c r="R38" s="72">
        <f t="shared" si="16"/>
        <v>0</v>
      </c>
      <c r="S38" s="72">
        <f t="shared" si="16"/>
        <v>0</v>
      </c>
      <c r="T38" s="72">
        <f t="shared" si="16"/>
        <v>0</v>
      </c>
      <c r="U38" s="77">
        <f t="shared" si="16"/>
        <v>0</v>
      </c>
      <c r="V38" s="74"/>
      <c r="W38" s="74"/>
      <c r="X38" s="74"/>
    </row>
    <row r="39" spans="1:24" ht="27.75">
      <c r="A39" s="37" t="s">
        <v>138</v>
      </c>
      <c r="B39" s="47" t="e">
        <f>SUM(B28,B38)</f>
        <v>#REF!</v>
      </c>
      <c r="C39" s="47">
        <f t="shared" ref="C39:U39" si="17">SUM(C28,C38)</f>
        <v>14</v>
      </c>
      <c r="D39" s="367" t="e">
        <f t="shared" si="17"/>
        <v>#REF!</v>
      </c>
      <c r="E39" s="367">
        <f t="shared" si="17"/>
        <v>4.2792857142857139</v>
      </c>
      <c r="F39" s="47" t="e">
        <f t="shared" si="17"/>
        <v>#DIV/0!</v>
      </c>
      <c r="G39" s="47">
        <f t="shared" si="17"/>
        <v>4</v>
      </c>
      <c r="H39" s="47" t="e">
        <f t="shared" si="17"/>
        <v>#DIV/0!</v>
      </c>
      <c r="I39" s="367">
        <f t="shared" si="17"/>
        <v>4</v>
      </c>
      <c r="J39" s="47" t="e">
        <f t="shared" si="17"/>
        <v>#DIV/0!</v>
      </c>
      <c r="K39" s="47">
        <f t="shared" si="17"/>
        <v>4.125</v>
      </c>
      <c r="L39" s="47">
        <f t="shared" si="17"/>
        <v>4.4850000000000003</v>
      </c>
      <c r="M39" s="367">
        <f t="shared" si="17"/>
        <v>4.2792857142857139</v>
      </c>
      <c r="N39" s="47">
        <f t="shared" si="17"/>
        <v>0</v>
      </c>
      <c r="O39" s="47">
        <f t="shared" si="17"/>
        <v>7</v>
      </c>
      <c r="P39" s="47">
        <f t="shared" si="17"/>
        <v>0</v>
      </c>
      <c r="Q39" s="47">
        <f t="shared" si="17"/>
        <v>7</v>
      </c>
      <c r="R39" s="47">
        <f t="shared" si="17"/>
        <v>0</v>
      </c>
      <c r="S39" s="47">
        <f t="shared" si="17"/>
        <v>8</v>
      </c>
      <c r="T39" s="47">
        <f t="shared" si="17"/>
        <v>6</v>
      </c>
      <c r="U39" s="47">
        <f t="shared" si="17"/>
        <v>14</v>
      </c>
      <c r="V39" s="2"/>
      <c r="W39" s="2"/>
      <c r="X39" s="2"/>
    </row>
    <row r="40" spans="1:24">
      <c r="A40" s="1"/>
      <c r="D40" s="30"/>
      <c r="E40" s="5"/>
      <c r="F40" s="5"/>
      <c r="G40" s="5"/>
      <c r="H40" s="5"/>
      <c r="I40" s="5"/>
      <c r="J40" s="5"/>
      <c r="K40" s="5"/>
      <c r="L40" s="5"/>
    </row>
    <row r="41" spans="1:24">
      <c r="A41" s="1"/>
      <c r="D41" s="30"/>
      <c r="E41" s="31"/>
      <c r="F41" s="32"/>
      <c r="G41" s="32"/>
      <c r="H41" s="32"/>
      <c r="I41" s="32"/>
      <c r="J41" s="32"/>
      <c r="K41" s="32"/>
      <c r="L41" s="32"/>
    </row>
    <row r="42" spans="1:24">
      <c r="A42" s="1"/>
      <c r="D42" s="30"/>
      <c r="E42" s="31"/>
      <c r="F42" s="33"/>
      <c r="G42" s="32"/>
      <c r="H42" s="32"/>
      <c r="I42" s="32"/>
      <c r="J42" s="33"/>
      <c r="K42" s="32"/>
      <c r="L42" s="32"/>
    </row>
    <row r="43" spans="1:24">
      <c r="A43" s="1"/>
      <c r="D43" s="30"/>
      <c r="E43" s="31"/>
      <c r="F43" s="32"/>
      <c r="G43" s="32"/>
      <c r="H43" s="32"/>
      <c r="I43" s="32"/>
      <c r="J43" s="33"/>
      <c r="K43" s="32"/>
      <c r="L43" s="32"/>
    </row>
    <row r="44" spans="1:24">
      <c r="A44" s="1"/>
      <c r="D44" s="30"/>
      <c r="E44" s="31"/>
      <c r="F44" s="32"/>
      <c r="G44" s="32"/>
      <c r="H44" s="32"/>
      <c r="I44" s="33"/>
      <c r="J44" s="32"/>
      <c r="K44" s="32"/>
      <c r="L44" s="32"/>
    </row>
    <row r="45" spans="1:24">
      <c r="A45" s="1"/>
      <c r="D45" s="30"/>
      <c r="E45" s="31"/>
      <c r="F45" s="32"/>
      <c r="G45" s="33"/>
      <c r="H45" s="32"/>
      <c r="I45" s="32"/>
      <c r="J45" s="32"/>
      <c r="K45" s="33"/>
      <c r="L45" s="32"/>
    </row>
    <row r="46" spans="1:24">
      <c r="A46" s="1"/>
      <c r="D46" s="30"/>
      <c r="E46" s="31"/>
      <c r="F46" s="32"/>
      <c r="G46" s="32"/>
      <c r="H46" s="32"/>
      <c r="I46" s="33"/>
      <c r="J46" s="32"/>
      <c r="K46" s="32"/>
      <c r="L46" s="32"/>
    </row>
    <row r="47" spans="1:24">
      <c r="A47" s="1"/>
      <c r="D47" s="30"/>
      <c r="E47" s="31"/>
      <c r="F47" s="32"/>
      <c r="G47" s="32"/>
      <c r="H47" s="32"/>
      <c r="I47" s="32"/>
      <c r="J47" s="32"/>
      <c r="K47" s="33"/>
      <c r="L47" s="32"/>
    </row>
    <row r="48" spans="1:24">
      <c r="A48" s="1"/>
      <c r="D48" s="30"/>
      <c r="E48" s="31"/>
      <c r="F48" s="32"/>
      <c r="G48" s="33"/>
      <c r="H48" s="32"/>
      <c r="I48" s="32"/>
      <c r="J48" s="32"/>
      <c r="K48" s="33"/>
      <c r="L48" s="32"/>
    </row>
    <row r="49" spans="1:12">
      <c r="A49" s="1"/>
      <c r="D49" s="30"/>
      <c r="E49" s="5"/>
      <c r="F49" s="5"/>
      <c r="G49" s="5"/>
      <c r="H49" s="5"/>
      <c r="I49" s="5"/>
      <c r="J49" s="5"/>
      <c r="K49" s="5"/>
      <c r="L49" s="5"/>
    </row>
    <row r="50" spans="1:12">
      <c r="A50" s="1"/>
      <c r="D50" s="30"/>
      <c r="E50" s="31"/>
      <c r="F50" s="32"/>
      <c r="G50" s="32"/>
      <c r="H50" s="32"/>
      <c r="I50" s="32"/>
      <c r="J50" s="32"/>
      <c r="K50" s="32"/>
      <c r="L50" s="32"/>
    </row>
    <row r="51" spans="1:12">
      <c r="A51" s="1"/>
      <c r="D51" s="30"/>
      <c r="E51" s="31"/>
      <c r="F51" s="33"/>
      <c r="G51" s="32"/>
      <c r="H51" s="32"/>
      <c r="I51" s="32"/>
      <c r="J51" s="33"/>
      <c r="K51" s="32"/>
      <c r="L51" s="32"/>
    </row>
    <row r="52" spans="1:12">
      <c r="A52" s="1"/>
      <c r="D52" s="30"/>
      <c r="E52" s="31"/>
      <c r="F52" s="32"/>
      <c r="G52" s="32"/>
      <c r="H52" s="32"/>
      <c r="I52" s="32"/>
      <c r="J52" s="32"/>
      <c r="K52" s="32"/>
      <c r="L52" s="32"/>
    </row>
    <row r="53" spans="1:12">
      <c r="A53" s="1"/>
      <c r="D53" s="30"/>
      <c r="E53" s="31"/>
      <c r="F53" s="32"/>
      <c r="G53" s="32"/>
      <c r="H53" s="32"/>
      <c r="I53" s="32"/>
      <c r="J53" s="32"/>
      <c r="K53" s="32"/>
      <c r="L53" s="32"/>
    </row>
    <row r="54" spans="1:12">
      <c r="A54" s="1"/>
      <c r="D54" s="30"/>
      <c r="E54" s="31"/>
      <c r="F54" s="32"/>
      <c r="G54" s="32"/>
      <c r="H54" s="32"/>
      <c r="I54" s="32"/>
      <c r="J54" s="32"/>
      <c r="K54" s="32"/>
      <c r="L54" s="32"/>
    </row>
    <row r="55" spans="1:12">
      <c r="A55" s="1"/>
      <c r="D55" s="30"/>
      <c r="E55" s="5"/>
      <c r="F55" s="5"/>
      <c r="G55" s="5"/>
      <c r="H55" s="5"/>
      <c r="I55" s="1"/>
      <c r="J55" s="1"/>
      <c r="K55" s="5"/>
      <c r="L55" s="5"/>
    </row>
    <row r="56" spans="1:12">
      <c r="A56" s="1"/>
      <c r="D56" s="30"/>
      <c r="E56" s="31"/>
      <c r="F56" s="32"/>
      <c r="G56" s="32"/>
      <c r="H56" s="32"/>
      <c r="I56" s="32"/>
      <c r="J56" s="32"/>
      <c r="K56" s="32"/>
      <c r="L56" s="32"/>
    </row>
    <row r="57" spans="1:12">
      <c r="A57" s="1"/>
      <c r="D57" s="30"/>
      <c r="E57" s="31"/>
      <c r="F57" s="33"/>
      <c r="G57" s="32"/>
      <c r="H57" s="32"/>
      <c r="I57" s="32"/>
      <c r="J57" s="33"/>
      <c r="K57" s="32"/>
      <c r="L57" s="32"/>
    </row>
    <row r="58" spans="1:12">
      <c r="A58" s="1"/>
      <c r="D58" s="30"/>
      <c r="E58" s="31"/>
      <c r="F58" s="33"/>
      <c r="G58" s="32"/>
      <c r="H58" s="32"/>
      <c r="I58" s="32"/>
      <c r="J58" s="33"/>
      <c r="K58" s="32"/>
      <c r="L58" s="32"/>
    </row>
    <row r="59" spans="1:12">
      <c r="A59" s="1"/>
      <c r="D59" s="30"/>
      <c r="E59" s="31"/>
      <c r="F59" s="33"/>
      <c r="G59" s="32"/>
      <c r="H59" s="32"/>
      <c r="I59" s="32"/>
      <c r="J59" s="33"/>
      <c r="K59" s="32"/>
      <c r="L59" s="32"/>
    </row>
    <row r="60" spans="1:12">
      <c r="A60" s="1"/>
      <c r="D60" s="30"/>
      <c r="E60" s="31"/>
      <c r="F60" s="33"/>
      <c r="G60" s="32"/>
      <c r="H60" s="32"/>
      <c r="I60" s="32"/>
      <c r="J60" s="33"/>
      <c r="K60" s="32"/>
      <c r="L60" s="32"/>
    </row>
    <row r="61" spans="1:12">
      <c r="A61" s="1"/>
      <c r="D61" s="30"/>
      <c r="E61" s="31"/>
      <c r="F61" s="32"/>
      <c r="G61" s="32"/>
      <c r="H61" s="32"/>
      <c r="I61" s="33"/>
      <c r="J61" s="32"/>
      <c r="K61" s="32"/>
      <c r="L61" s="32"/>
    </row>
    <row r="62" spans="1:12">
      <c r="A62" s="1"/>
      <c r="D62" s="30"/>
      <c r="E62" s="31"/>
      <c r="F62" s="32"/>
      <c r="G62" s="32"/>
      <c r="H62" s="32"/>
      <c r="I62" s="33"/>
      <c r="J62" s="32"/>
      <c r="K62" s="32"/>
      <c r="L62" s="32"/>
    </row>
    <row r="63" spans="1:12">
      <c r="A63" s="1"/>
      <c r="D63" s="30"/>
      <c r="E63" s="31"/>
      <c r="F63" s="32"/>
      <c r="G63" s="32"/>
      <c r="H63" s="32"/>
      <c r="I63" s="33"/>
      <c r="J63" s="32"/>
      <c r="K63" s="32"/>
      <c r="L63" s="32"/>
    </row>
    <row r="64" spans="1:12">
      <c r="A64" s="1"/>
      <c r="D64" s="30"/>
      <c r="E64" s="31"/>
      <c r="F64" s="32"/>
      <c r="G64" s="32"/>
      <c r="H64" s="32"/>
      <c r="I64" s="33"/>
      <c r="J64" s="32"/>
      <c r="K64" s="32"/>
      <c r="L64" s="32"/>
    </row>
    <row r="65" spans="1:12">
      <c r="A65" s="1"/>
      <c r="D65" s="30"/>
      <c r="E65" s="31"/>
      <c r="F65" s="32"/>
      <c r="G65" s="33"/>
      <c r="H65" s="32"/>
      <c r="I65" s="32"/>
      <c r="J65" s="32"/>
      <c r="K65" s="33"/>
      <c r="L65" s="32"/>
    </row>
    <row r="66" spans="1:12">
      <c r="A66" s="1"/>
      <c r="D66" s="30"/>
      <c r="E66" s="31"/>
      <c r="F66" s="32"/>
      <c r="G66" s="33"/>
      <c r="H66" s="32"/>
      <c r="I66" s="32"/>
      <c r="J66" s="32"/>
      <c r="K66" s="33"/>
      <c r="L66" s="32"/>
    </row>
    <row r="67" spans="1:12">
      <c r="A67" s="1"/>
      <c r="D67" s="30"/>
      <c r="E67" s="31"/>
      <c r="F67" s="33"/>
      <c r="G67" s="32"/>
      <c r="H67" s="32"/>
      <c r="I67" s="32"/>
      <c r="J67" s="33"/>
      <c r="K67" s="32"/>
      <c r="L67" s="32"/>
    </row>
    <row r="68" spans="1:12">
      <c r="A68" s="1"/>
      <c r="D68" s="30"/>
      <c r="E68" s="31"/>
      <c r="F68" s="32"/>
      <c r="G68" s="33"/>
      <c r="H68" s="32"/>
      <c r="I68" s="32"/>
      <c r="J68" s="32"/>
      <c r="K68" s="33"/>
      <c r="L68" s="32"/>
    </row>
    <row r="69" spans="1:12">
      <c r="A69" s="1"/>
      <c r="D69" s="30"/>
      <c r="E69" s="34"/>
      <c r="F69" s="35"/>
      <c r="G69" s="35"/>
      <c r="H69" s="32"/>
      <c r="I69" s="35"/>
      <c r="J69" s="35"/>
      <c r="K69" s="33"/>
      <c r="L69" s="32"/>
    </row>
    <row r="70" spans="1:12">
      <c r="A70" s="1"/>
      <c r="D70" s="30"/>
      <c r="E70" s="31"/>
      <c r="F70" s="32"/>
      <c r="G70" s="32"/>
      <c r="H70" s="32"/>
      <c r="I70" s="32"/>
      <c r="J70" s="33"/>
      <c r="K70" s="32"/>
      <c r="L70" s="32"/>
    </row>
    <row r="71" spans="1:12">
      <c r="A71" s="1"/>
      <c r="D71" s="30"/>
      <c r="E71" s="5"/>
      <c r="F71" s="5"/>
      <c r="G71" s="5"/>
      <c r="H71" s="5"/>
      <c r="I71" s="5"/>
      <c r="J71" s="5"/>
      <c r="K71" s="5"/>
      <c r="L71" s="5"/>
    </row>
    <row r="72" spans="1:12">
      <c r="A72" s="1"/>
      <c r="D72" s="30"/>
      <c r="E72" s="31"/>
      <c r="F72" s="32"/>
      <c r="G72" s="32"/>
      <c r="H72" s="32"/>
      <c r="I72" s="32"/>
      <c r="J72" s="32"/>
      <c r="K72" s="32"/>
      <c r="L72" s="32"/>
    </row>
    <row r="73" spans="1:12">
      <c r="A73" s="1"/>
      <c r="D73" s="30"/>
      <c r="E73" s="31"/>
      <c r="F73" s="33"/>
      <c r="G73" s="32"/>
      <c r="H73" s="32"/>
      <c r="I73" s="32"/>
      <c r="J73" s="33"/>
      <c r="K73" s="32"/>
      <c r="L73" s="32"/>
    </row>
    <row r="74" spans="1:12">
      <c r="A74" s="1"/>
      <c r="D74" s="30"/>
      <c r="E74" s="31"/>
      <c r="F74" s="33"/>
      <c r="G74" s="32"/>
      <c r="H74" s="32"/>
      <c r="I74" s="32"/>
      <c r="J74" s="33"/>
      <c r="K74" s="32"/>
      <c r="L74" s="32"/>
    </row>
    <row r="75" spans="1:12">
      <c r="D75" s="30"/>
      <c r="E75" s="31"/>
      <c r="F75" s="32"/>
      <c r="G75" s="32"/>
      <c r="H75" s="32"/>
      <c r="I75" s="33"/>
      <c r="J75" s="32"/>
      <c r="K75" s="32"/>
      <c r="L75" s="32"/>
    </row>
    <row r="76" spans="1:12">
      <c r="E76" s="35"/>
      <c r="F76" s="35"/>
      <c r="G76" s="35"/>
      <c r="H76" s="32"/>
      <c r="I76" s="33"/>
      <c r="J76" s="35"/>
      <c r="K76" s="35"/>
      <c r="L76" s="32"/>
    </row>
    <row r="77" spans="1:12">
      <c r="E77" s="32"/>
      <c r="F77" s="32"/>
      <c r="G77" s="32"/>
      <c r="H77" s="32"/>
      <c r="I77" s="33"/>
      <c r="J77" s="32"/>
      <c r="K77" s="32"/>
      <c r="L77" s="32"/>
    </row>
    <row r="78" spans="1:12">
      <c r="E78" s="5"/>
      <c r="F78" s="5"/>
      <c r="G78" s="5"/>
      <c r="H78" s="5"/>
      <c r="I78" s="5"/>
      <c r="J78" s="5"/>
      <c r="K78" s="5"/>
      <c r="L78" s="5"/>
    </row>
    <row r="79" spans="1:12">
      <c r="E79" s="32"/>
      <c r="F79" s="32"/>
      <c r="G79" s="32"/>
      <c r="H79" s="32"/>
      <c r="I79" s="32"/>
      <c r="J79" s="32"/>
      <c r="K79" s="32"/>
      <c r="L79" s="32"/>
    </row>
    <row r="80" spans="1:12">
      <c r="E80" s="32"/>
      <c r="F80" s="33"/>
      <c r="G80" s="32"/>
      <c r="H80" s="32"/>
      <c r="I80" s="32"/>
      <c r="J80" s="33"/>
      <c r="K80" s="32"/>
      <c r="L80" s="32"/>
    </row>
    <row r="81" spans="5:12">
      <c r="E81" s="32"/>
      <c r="F81" s="33"/>
      <c r="G81" s="32"/>
      <c r="H81" s="32"/>
      <c r="I81" s="32"/>
      <c r="J81" s="33"/>
      <c r="K81" s="32"/>
      <c r="L81" s="32"/>
    </row>
    <row r="82" spans="5:12">
      <c r="E82" s="32"/>
      <c r="F82" s="32"/>
      <c r="G82" s="33"/>
      <c r="H82" s="32"/>
      <c r="I82" s="32"/>
      <c r="J82" s="32"/>
      <c r="K82" s="33"/>
      <c r="L82" s="32"/>
    </row>
    <row r="83" spans="5:12">
      <c r="E83" s="5"/>
      <c r="F83" s="5"/>
      <c r="G83" s="5"/>
      <c r="H83" s="5"/>
      <c r="I83" s="1"/>
      <c r="J83" s="1"/>
      <c r="K83" s="1"/>
      <c r="L83" s="5"/>
    </row>
    <row r="84" spans="5:12">
      <c r="E84" s="5"/>
      <c r="F84" s="5"/>
      <c r="G84" s="5"/>
      <c r="H84" s="6"/>
      <c r="I84" s="5"/>
      <c r="J84" s="5"/>
      <c r="K84" s="5"/>
      <c r="L84" s="6"/>
    </row>
    <row r="85" spans="5:12">
      <c r="E85" s="32"/>
      <c r="F85" s="32"/>
      <c r="G85" s="32"/>
      <c r="H85" s="32"/>
      <c r="I85" s="32"/>
      <c r="J85" s="32"/>
      <c r="K85" s="32"/>
      <c r="L85" s="32"/>
    </row>
  </sheetData>
  <mergeCells count="10">
    <mergeCell ref="R2:U3"/>
    <mergeCell ref="A2:A4"/>
    <mergeCell ref="B2:C2"/>
    <mergeCell ref="D3:E3"/>
    <mergeCell ref="B3:B4"/>
    <mergeCell ref="C3:C4"/>
    <mergeCell ref="D2:E2"/>
    <mergeCell ref="F2:I3"/>
    <mergeCell ref="J2:M3"/>
    <mergeCell ref="N2: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tabSelected="1" zoomScale="90" zoomScaleNormal="90" workbookViewId="0">
      <pane xSplit="2" ySplit="4" topLeftCell="C5" activePane="bottomRight" state="frozen"/>
      <selection activeCell="A9" sqref="A9"/>
      <selection pane="topRight" activeCell="A9" sqref="A9"/>
      <selection pane="bottomLeft" activeCell="A9" sqref="A9"/>
      <selection pane="bottomRight" activeCell="F82" sqref="F82"/>
    </sheetView>
  </sheetViews>
  <sheetFormatPr defaultRowHeight="39.75"/>
  <cols>
    <col min="1" max="1" width="8" style="163" customWidth="1"/>
    <col min="2" max="2" width="55.875" style="163" customWidth="1"/>
    <col min="3" max="3" width="12.5" style="163" customWidth="1"/>
    <col min="4" max="4" width="12" style="229" customWidth="1"/>
    <col min="5" max="5" width="12.875" style="229" customWidth="1"/>
    <col min="6" max="6" width="11.5" style="229" customWidth="1"/>
    <col min="7" max="7" width="12.125" style="229" customWidth="1"/>
    <col min="8" max="8" width="12.375" style="229" customWidth="1"/>
    <col min="9" max="9" width="34.625" style="372" customWidth="1"/>
    <col min="10" max="10" width="21.25" style="156" customWidth="1"/>
    <col min="11" max="11" width="14.25" style="156" customWidth="1"/>
    <col min="12" max="16384" width="9" style="156"/>
  </cols>
  <sheetData>
    <row r="1" spans="1:9" ht="27.75" customHeight="1">
      <c r="A1" s="210" t="s">
        <v>277</v>
      </c>
      <c r="B1" s="164"/>
      <c r="C1" s="164"/>
      <c r="D1" s="227"/>
      <c r="E1" s="383"/>
      <c r="F1" s="383"/>
      <c r="G1" s="383"/>
      <c r="H1" s="383"/>
      <c r="I1" s="369"/>
    </row>
    <row r="2" spans="1:9" ht="23.25" customHeight="1">
      <c r="A2" s="165"/>
      <c r="B2" s="166"/>
      <c r="C2" s="166"/>
      <c r="D2" s="228"/>
      <c r="E2" s="383"/>
      <c r="F2" s="383"/>
      <c r="G2" s="383"/>
      <c r="H2" s="383"/>
      <c r="I2" s="369"/>
    </row>
    <row r="3" spans="1:9" s="157" customFormat="1" ht="33.75" customHeight="1">
      <c r="A3" s="525" t="s">
        <v>82</v>
      </c>
      <c r="B3" s="526"/>
      <c r="C3" s="531" t="s">
        <v>207</v>
      </c>
      <c r="D3" s="532"/>
      <c r="E3" s="531" t="s">
        <v>208</v>
      </c>
      <c r="F3" s="532"/>
      <c r="G3" s="531" t="s">
        <v>209</v>
      </c>
      <c r="H3" s="532"/>
      <c r="I3" s="529" t="s">
        <v>171</v>
      </c>
    </row>
    <row r="4" spans="1:9" s="157" customFormat="1" ht="43.5" customHeight="1">
      <c r="A4" s="527"/>
      <c r="B4" s="528"/>
      <c r="C4" s="489" t="s">
        <v>288</v>
      </c>
      <c r="D4" s="473" t="s">
        <v>165</v>
      </c>
      <c r="E4" s="489" t="s">
        <v>288</v>
      </c>
      <c r="F4" s="473" t="s">
        <v>165</v>
      </c>
      <c r="G4" s="490" t="s">
        <v>288</v>
      </c>
      <c r="H4" s="473" t="s">
        <v>165</v>
      </c>
      <c r="I4" s="530"/>
    </row>
    <row r="5" spans="1:9" s="158" customFormat="1">
      <c r="A5" s="167" t="s">
        <v>81</v>
      </c>
      <c r="B5" s="288"/>
      <c r="C5" s="438">
        <f>+SUM(C7,C18,C20,C24)/4</f>
        <v>4.75</v>
      </c>
      <c r="D5" s="474">
        <f>+SUM(D7,D18,D20,D24)/เป้าหมาย!C5</f>
        <v>4.5</v>
      </c>
      <c r="E5" s="439">
        <f>+SUM(E7,E29,E33,E35,E39,E49)/6</f>
        <v>4.666666666666667</v>
      </c>
      <c r="F5" s="439">
        <f>+SUM(F7,F29,F33,F35,F39,F49)/เป้าหมาย!D5</f>
        <v>4.666666666666667</v>
      </c>
      <c r="G5" s="439">
        <f>+SUM(G7,G52,G62,G69,G71)/5</f>
        <v>4.5999999999999996</v>
      </c>
      <c r="H5" s="439">
        <f>+SUM(H7,H52,H62,H69,H71)/เป้าหมาย!E5</f>
        <v>4.5999999999999996</v>
      </c>
      <c r="I5" s="447"/>
    </row>
    <row r="6" spans="1:9" s="158" customFormat="1" ht="30.75" customHeight="1">
      <c r="A6" s="414">
        <v>1.1000000000000001</v>
      </c>
      <c r="B6" s="415" t="s">
        <v>83</v>
      </c>
      <c r="C6" s="428">
        <f>+SUM(C8:C15)</f>
        <v>8</v>
      </c>
      <c r="D6" s="428">
        <f>+SUM(D8:D15)</f>
        <v>7</v>
      </c>
      <c r="E6" s="428">
        <f t="shared" ref="E6" si="0">+SUM(E8:E15)</f>
        <v>8</v>
      </c>
      <c r="F6" s="428">
        <f t="shared" ref="F6:H6" si="1">+SUM(F8:F15)</f>
        <v>8</v>
      </c>
      <c r="G6" s="428">
        <f t="shared" ref="G6" si="2">+SUM(G8:G15)</f>
        <v>8</v>
      </c>
      <c r="H6" s="428">
        <f t="shared" si="1"/>
        <v>8</v>
      </c>
      <c r="I6" s="448"/>
    </row>
    <row r="7" spans="1:9" s="158" customFormat="1" ht="30.75" customHeight="1">
      <c r="A7" s="495"/>
      <c r="B7" s="496" t="s">
        <v>150</v>
      </c>
      <c r="C7" s="497">
        <f t="shared" ref="C7:H7" si="3">IF(C6&lt;1,0,IF(C6&lt;2,1,IF(C6&lt;4,2,IF(C6&lt;6,3,IF(C6&lt;8,4,IF(C6=8,5))))))</f>
        <v>5</v>
      </c>
      <c r="D7" s="497">
        <f t="shared" si="3"/>
        <v>4</v>
      </c>
      <c r="E7" s="497">
        <f t="shared" si="3"/>
        <v>5</v>
      </c>
      <c r="F7" s="497">
        <f t="shared" si="3"/>
        <v>5</v>
      </c>
      <c r="G7" s="497">
        <f t="shared" si="3"/>
        <v>5</v>
      </c>
      <c r="H7" s="497">
        <f t="shared" si="3"/>
        <v>5</v>
      </c>
      <c r="I7" s="498"/>
    </row>
    <row r="8" spans="1:9" s="158" customFormat="1" ht="144">
      <c r="A8" s="159"/>
      <c r="B8" s="297" t="s">
        <v>301</v>
      </c>
      <c r="C8" s="325">
        <v>1</v>
      </c>
      <c r="D8" s="513">
        <v>1</v>
      </c>
      <c r="E8" s="325">
        <v>1</v>
      </c>
      <c r="F8" s="465">
        <v>1</v>
      </c>
      <c r="G8" s="325">
        <v>1</v>
      </c>
      <c r="H8" s="465">
        <v>1</v>
      </c>
      <c r="I8" s="471" t="s">
        <v>303</v>
      </c>
    </row>
    <row r="9" spans="1:9" s="158" customFormat="1" ht="55.5">
      <c r="A9" s="159"/>
      <c r="B9" s="297" t="s">
        <v>84</v>
      </c>
      <c r="C9" s="325">
        <v>1</v>
      </c>
      <c r="D9" s="467">
        <v>0</v>
      </c>
      <c r="E9" s="325">
        <v>1</v>
      </c>
      <c r="F9" s="465">
        <v>1</v>
      </c>
      <c r="G9" s="325">
        <v>1</v>
      </c>
      <c r="H9" s="465">
        <v>1</v>
      </c>
      <c r="I9" s="471" t="s">
        <v>296</v>
      </c>
    </row>
    <row r="10" spans="1:9" s="158" customFormat="1" ht="76.5" customHeight="1">
      <c r="A10" s="159"/>
      <c r="B10" s="297" t="s">
        <v>85</v>
      </c>
      <c r="C10" s="325">
        <v>1</v>
      </c>
      <c r="D10" s="465">
        <v>1</v>
      </c>
      <c r="E10" s="325">
        <v>1</v>
      </c>
      <c r="F10" s="465">
        <v>1</v>
      </c>
      <c r="G10" s="325">
        <v>1</v>
      </c>
      <c r="H10" s="465">
        <v>1</v>
      </c>
      <c r="I10" s="370"/>
    </row>
    <row r="11" spans="1:9" s="158" customFormat="1" ht="77.25" customHeight="1">
      <c r="A11" s="159"/>
      <c r="B11" s="297" t="s">
        <v>86</v>
      </c>
      <c r="C11" s="325">
        <v>1</v>
      </c>
      <c r="D11" s="465">
        <v>1</v>
      </c>
      <c r="E11" s="325">
        <v>1</v>
      </c>
      <c r="F11" s="465">
        <v>1</v>
      </c>
      <c r="G11" s="325">
        <v>1</v>
      </c>
      <c r="H11" s="465">
        <v>1</v>
      </c>
      <c r="I11" s="370"/>
    </row>
    <row r="12" spans="1:9" s="158" customFormat="1" ht="30.75" customHeight="1">
      <c r="A12" s="159"/>
      <c r="B12" s="297" t="s">
        <v>87</v>
      </c>
      <c r="C12" s="325">
        <v>1</v>
      </c>
      <c r="D12" s="465">
        <v>1</v>
      </c>
      <c r="E12" s="325">
        <v>1</v>
      </c>
      <c r="F12" s="465">
        <v>1</v>
      </c>
      <c r="G12" s="325">
        <v>1</v>
      </c>
      <c r="H12" s="465">
        <v>1</v>
      </c>
      <c r="I12" s="370"/>
    </row>
    <row r="13" spans="1:9" s="158" customFormat="1" ht="48">
      <c r="A13" s="159"/>
      <c r="B13" s="297" t="s">
        <v>88</v>
      </c>
      <c r="C13" s="325">
        <v>1</v>
      </c>
      <c r="D13" s="465">
        <v>1</v>
      </c>
      <c r="E13" s="325">
        <v>1</v>
      </c>
      <c r="F13" s="465">
        <v>1</v>
      </c>
      <c r="G13" s="325">
        <v>1</v>
      </c>
      <c r="H13" s="465">
        <v>1</v>
      </c>
      <c r="I13" s="370"/>
    </row>
    <row r="14" spans="1:9" s="158" customFormat="1" ht="48">
      <c r="A14" s="159"/>
      <c r="B14" s="297" t="s">
        <v>89</v>
      </c>
      <c r="C14" s="325">
        <v>1</v>
      </c>
      <c r="D14" s="465">
        <v>1</v>
      </c>
      <c r="E14" s="325">
        <v>1</v>
      </c>
      <c r="F14" s="465">
        <v>1</v>
      </c>
      <c r="G14" s="325">
        <v>1</v>
      </c>
      <c r="H14" s="465">
        <v>1</v>
      </c>
      <c r="I14" s="370"/>
    </row>
    <row r="15" spans="1:9" ht="48">
      <c r="A15" s="160"/>
      <c r="B15" s="297" t="s">
        <v>90</v>
      </c>
      <c r="C15" s="326">
        <v>1</v>
      </c>
      <c r="D15" s="466">
        <v>1</v>
      </c>
      <c r="E15" s="326">
        <v>1</v>
      </c>
      <c r="F15" s="466">
        <v>1</v>
      </c>
      <c r="G15" s="326">
        <v>1</v>
      </c>
      <c r="H15" s="466">
        <v>1</v>
      </c>
      <c r="I15" s="449"/>
    </row>
    <row r="16" spans="1:9">
      <c r="A16" s="393">
        <v>1.2</v>
      </c>
      <c r="B16" s="392" t="s">
        <v>235</v>
      </c>
      <c r="C16" s="327"/>
      <c r="D16" s="327"/>
      <c r="E16" s="327"/>
      <c r="F16" s="327"/>
      <c r="G16" s="327"/>
      <c r="H16" s="327"/>
      <c r="I16" s="450"/>
    </row>
    <row r="17" spans="1:10" ht="62.25" customHeight="1">
      <c r="A17" s="402"/>
      <c r="B17" s="403" t="str">
        <f>+เป้าหมาย!A8</f>
        <v>ตัวบ่งชี้ที่ 1.2.1  ระดับความพึงพอใจของผู้รับบริการต่อการให้บริการของสำนักงานอธิการบดี</v>
      </c>
      <c r="C17" s="407">
        <v>3.9180000000000001</v>
      </c>
      <c r="D17" s="407">
        <v>3.9180000000000001</v>
      </c>
      <c r="E17" s="413"/>
      <c r="F17" s="413"/>
      <c r="G17" s="413"/>
      <c r="H17" s="413"/>
      <c r="I17" s="451"/>
      <c r="J17" s="226"/>
    </row>
    <row r="18" spans="1:10" ht="30.75" customHeight="1">
      <c r="A18" s="499"/>
      <c r="B18" s="496" t="s">
        <v>150</v>
      </c>
      <c r="C18" s="497">
        <f>IF(C17&lt;1.51,1,IF(C17&lt;2.51,2,IF(C17&lt;3.51,3,IF(C17&lt;4.51,4,IF(C17&gt;=4.51,5,)))))</f>
        <v>4</v>
      </c>
      <c r="D18" s="497">
        <f>IF(D17&lt;1.51,1,IF(D17&lt;2.51,2,IF(D17&lt;3.51,3,IF(D17&lt;4.51,4,IF(D17&gt;=4.51,5,)))))</f>
        <v>4</v>
      </c>
      <c r="E18" s="429"/>
      <c r="F18" s="429"/>
      <c r="G18" s="426"/>
      <c r="H18" s="426"/>
      <c r="I18" s="498"/>
      <c r="J18" s="226"/>
    </row>
    <row r="19" spans="1:10" ht="55.5">
      <c r="A19" s="402"/>
      <c r="B19" s="404" t="str">
        <f>+เป้าหมาย!A9</f>
        <v>ตัวบ่งชี้ที่ 1.2.2 ร้อยละเฉลี่ยของบุคลากรที่เข้าร่วมกิจกรรมสาธารณประโยชน์ที่สำนักงานอธิการบดีจัดขึ้น</v>
      </c>
      <c r="C19" s="419">
        <f>C21*100/C22</f>
        <v>82.116788321167888</v>
      </c>
      <c r="D19" s="419">
        <f>D21*100/D22</f>
        <v>82.116788321167888</v>
      </c>
      <c r="E19" s="476"/>
      <c r="F19" s="476"/>
      <c r="G19" s="476"/>
      <c r="H19" s="476"/>
      <c r="I19" s="452"/>
    </row>
    <row r="20" spans="1:10" ht="35.25" customHeight="1">
      <c r="A20" s="499"/>
      <c r="B20" s="496" t="s">
        <v>150</v>
      </c>
      <c r="C20" s="497">
        <f>+IF(C19&lt;80,C19*5/80,IF(C19&gt;=80,5))</f>
        <v>5</v>
      </c>
      <c r="D20" s="497">
        <f>+IF(D19&lt;80,D19*5/80,IF(D19&gt;=80,5))</f>
        <v>5</v>
      </c>
      <c r="E20" s="429"/>
      <c r="F20" s="429"/>
      <c r="G20" s="426"/>
      <c r="H20" s="426"/>
      <c r="I20" s="498"/>
      <c r="J20" s="226"/>
    </row>
    <row r="21" spans="1:10" s="168" customFormat="1" ht="29.25" customHeight="1">
      <c r="A21" s="397"/>
      <c r="B21" s="395" t="s">
        <v>189</v>
      </c>
      <c r="C21" s="477">
        <v>225</v>
      </c>
      <c r="D21" s="477">
        <v>225</v>
      </c>
      <c r="E21" s="478"/>
      <c r="F21" s="478"/>
      <c r="G21" s="478"/>
      <c r="H21" s="478"/>
      <c r="I21" s="453"/>
    </row>
    <row r="22" spans="1:10" s="168" customFormat="1" ht="29.25" customHeight="1">
      <c r="A22" s="397"/>
      <c r="B22" s="395" t="s">
        <v>191</v>
      </c>
      <c r="C22" s="477">
        <v>274</v>
      </c>
      <c r="D22" s="477">
        <v>274</v>
      </c>
      <c r="E22" s="478"/>
      <c r="F22" s="478"/>
      <c r="G22" s="478"/>
      <c r="H22" s="478"/>
      <c r="I22" s="453"/>
    </row>
    <row r="23" spans="1:10" s="168" customFormat="1" ht="55.5">
      <c r="A23" s="405"/>
      <c r="B23" s="406" t="str">
        <f>+เป้าหมาย!A10</f>
        <v>ตัวบ่งชี้ที่ 1.2.3 จำนวนหน่วยงานของสำนักงานอธิการบดีที่ได้มีการแลกเปลี่ยนเรียนรู้ร่วมกับหน่วยงานอื่น</v>
      </c>
      <c r="C23" s="479">
        <f>+C25*100/C26</f>
        <v>86.666666666666671</v>
      </c>
      <c r="D23" s="479">
        <f>+D25*100/D26</f>
        <v>86.666666666666671</v>
      </c>
      <c r="E23" s="480"/>
      <c r="F23" s="480"/>
      <c r="G23" s="480"/>
      <c r="H23" s="480"/>
      <c r="I23" s="454"/>
    </row>
    <row r="24" spans="1:10">
      <c r="A24" s="499"/>
      <c r="B24" s="496" t="s">
        <v>150</v>
      </c>
      <c r="C24" s="497">
        <f>+IF(C23&lt;80,C23*5/80,IF(C23&gt;=80,5))</f>
        <v>5</v>
      </c>
      <c r="D24" s="497">
        <f>+IF(D23&lt;80,D23*5/80,IF(D23&gt;=80,5))</f>
        <v>5</v>
      </c>
      <c r="E24" s="429"/>
      <c r="F24" s="429"/>
      <c r="G24" s="426"/>
      <c r="H24" s="426"/>
      <c r="I24" s="498"/>
      <c r="J24" s="226"/>
    </row>
    <row r="25" spans="1:10" s="168" customFormat="1" ht="36">
      <c r="A25" s="397"/>
      <c r="B25" s="395" t="s">
        <v>192</v>
      </c>
      <c r="C25" s="477">
        <v>13</v>
      </c>
      <c r="D25" s="477">
        <v>13</v>
      </c>
      <c r="E25" s="478"/>
      <c r="F25" s="478"/>
      <c r="G25" s="478"/>
      <c r="H25" s="478"/>
      <c r="I25" s="453"/>
    </row>
    <row r="26" spans="1:10" s="168" customFormat="1" ht="36">
      <c r="A26" s="397"/>
      <c r="B26" s="395" t="s">
        <v>193</v>
      </c>
      <c r="C26" s="477">
        <v>15</v>
      </c>
      <c r="D26" s="477">
        <v>15</v>
      </c>
      <c r="E26" s="478"/>
      <c r="F26" s="478"/>
      <c r="G26" s="478"/>
      <c r="H26" s="478"/>
      <c r="I26" s="453"/>
    </row>
    <row r="27" spans="1:10">
      <c r="A27" s="393">
        <v>1.2</v>
      </c>
      <c r="B27" s="392" t="s">
        <v>236</v>
      </c>
      <c r="C27" s="327"/>
      <c r="D27" s="327"/>
      <c r="E27" s="327"/>
      <c r="F27" s="327"/>
      <c r="G27" s="327"/>
      <c r="H27" s="327"/>
      <c r="I27" s="450"/>
    </row>
    <row r="28" spans="1:10" s="396" customFormat="1" ht="83.25">
      <c r="A28" s="408"/>
      <c r="B28" s="404" t="str">
        <f>+เป้าหมาย!A12</f>
        <v>1.2.1 ร้อยละความสอดคล้องของทรัพยากรในสำนักวิทยบริการตามโครงสร้างรายวิชาและแผนการสอน (มคอ.3) เฉพาะที่มีการเรียนการสอนในปีการศึกษานั้น</v>
      </c>
      <c r="C28" s="478"/>
      <c r="D28" s="478"/>
      <c r="E28" s="481">
        <f>+E30*100/E31</f>
        <v>72.153635116598082</v>
      </c>
      <c r="F28" s="481">
        <f>+F30*100/F31</f>
        <v>72.153635116598082</v>
      </c>
      <c r="G28" s="478"/>
      <c r="H28" s="478"/>
      <c r="I28" s="455"/>
    </row>
    <row r="29" spans="1:10" s="396" customFormat="1">
      <c r="A29" s="500"/>
      <c r="B29" s="496" t="s">
        <v>150</v>
      </c>
      <c r="C29" s="478"/>
      <c r="D29" s="478"/>
      <c r="E29" s="501">
        <f>IF(E28&lt;20,0,IF(E28&lt;21,1,IF(E28&lt;41,2,IF(E28&lt;61,3,IF(E28&lt;=81,4,IF(E28&gt;81,5,))))))</f>
        <v>4</v>
      </c>
      <c r="F29" s="501">
        <f>IF(F28&lt;20,0,IF(F28&lt;21,1,IF(F28&lt;41,2,IF(F28&lt;61,3,IF(F28&lt;=81,4,IF(F28&gt;81,5,))))))</f>
        <v>4</v>
      </c>
      <c r="G29" s="478"/>
      <c r="H29" s="478"/>
      <c r="I29" s="502"/>
    </row>
    <row r="30" spans="1:10" s="396" customFormat="1" ht="36">
      <c r="A30" s="394"/>
      <c r="B30" s="431" t="s">
        <v>278</v>
      </c>
      <c r="C30" s="478"/>
      <c r="D30" s="478"/>
      <c r="E30" s="477">
        <v>526</v>
      </c>
      <c r="F30" s="477">
        <v>526</v>
      </c>
      <c r="G30" s="478"/>
      <c r="H30" s="478"/>
      <c r="I30" s="456"/>
    </row>
    <row r="31" spans="1:10" s="396" customFormat="1" ht="36">
      <c r="A31" s="394"/>
      <c r="B31" s="432" t="s">
        <v>279</v>
      </c>
      <c r="C31" s="478"/>
      <c r="D31" s="478"/>
      <c r="E31" s="477">
        <v>729</v>
      </c>
      <c r="F31" s="477">
        <v>729</v>
      </c>
      <c r="G31" s="478"/>
      <c r="H31" s="478"/>
      <c r="I31" s="456"/>
    </row>
    <row r="32" spans="1:10" s="396" customFormat="1" ht="55.5">
      <c r="A32" s="408"/>
      <c r="B32" s="404" t="str">
        <f>+เป้าหมาย!A13</f>
        <v>1.2.2 ระดับความพึงพอใจของผู้ใช้บริการต่อการให้บริการของสำนักวิทยบริการ</v>
      </c>
      <c r="C32" s="478"/>
      <c r="D32" s="478"/>
      <c r="E32" s="482">
        <v>4.2699999999999996</v>
      </c>
      <c r="F32" s="482">
        <v>4.2699999999999996</v>
      </c>
      <c r="G32" s="478"/>
      <c r="H32" s="478"/>
      <c r="I32" s="455"/>
    </row>
    <row r="33" spans="1:9" s="396" customFormat="1">
      <c r="A33" s="500"/>
      <c r="B33" s="496" t="s">
        <v>150</v>
      </c>
      <c r="C33" s="478"/>
      <c r="D33" s="478"/>
      <c r="E33" s="501">
        <f>IF(E32&lt;1.51,1,IF(E32&lt;2.51,2,IF(E32&lt;3.51,3,IF(E32&lt;4.51,4,IF(E32&gt;=4.51,5,)))))</f>
        <v>4</v>
      </c>
      <c r="F33" s="501">
        <f>IF(F32&lt;1.51,1,IF(F32&lt;2.51,2,IF(F32&lt;3.51,3,IF(F32&lt;4.51,4,IF(F32&gt;=4.51,5,)))))</f>
        <v>4</v>
      </c>
      <c r="G33" s="478"/>
      <c r="H33" s="478"/>
      <c r="I33" s="502"/>
    </row>
    <row r="34" spans="1:9" s="396" customFormat="1" ht="55.5">
      <c r="A34" s="408"/>
      <c r="B34" s="404" t="str">
        <f>+เป้าหมาย!A14</f>
        <v>1.2.3 ร้อยละของผู้ใช้บริการที่เข้าร่วมกิจกรรมส่งเสริมการรู้สารสนเทศและการเรียนรู้ตลอดชีวิต</v>
      </c>
      <c r="C34" s="478"/>
      <c r="D34" s="478"/>
      <c r="E34" s="481">
        <f>+E36*100/E37</f>
        <v>33.068855449156409</v>
      </c>
      <c r="F34" s="481">
        <f>+F36*100/F37</f>
        <v>33.068855449156409</v>
      </c>
      <c r="G34" s="478"/>
      <c r="H34" s="478"/>
      <c r="I34" s="455"/>
    </row>
    <row r="35" spans="1:9" s="396" customFormat="1">
      <c r="A35" s="500"/>
      <c r="B35" s="496" t="s">
        <v>150</v>
      </c>
      <c r="C35" s="478"/>
      <c r="D35" s="478"/>
      <c r="E35" s="501">
        <f>IF(E34&lt;5,0,IF(E34&lt;10,1,IF(E34&lt;15,2,IF(E34&lt;20,3,IF(E34&lt;25,4,IF(E34&gt;=25,5,))))))</f>
        <v>5</v>
      </c>
      <c r="F35" s="501">
        <f>IF(F34&lt;5,0,IF(F34&lt;10,1,IF(F34&lt;15,2,IF(F34&lt;20,3,IF(F34&lt;25,4,IF(F34&gt;=25,5,))))))</f>
        <v>5</v>
      </c>
      <c r="G35" s="478"/>
      <c r="H35" s="478"/>
      <c r="I35" s="502"/>
    </row>
    <row r="36" spans="1:9" s="396" customFormat="1" ht="36">
      <c r="A36" s="394"/>
      <c r="B36" s="434" t="s">
        <v>280</v>
      </c>
      <c r="C36" s="478"/>
      <c r="D36" s="478"/>
      <c r="E36" s="483">
        <v>3626</v>
      </c>
      <c r="F36" s="483">
        <v>3626</v>
      </c>
      <c r="G36" s="478"/>
      <c r="H36" s="478"/>
      <c r="I36" s="456"/>
    </row>
    <row r="37" spans="1:9" s="396" customFormat="1" ht="36">
      <c r="A37" s="394"/>
      <c r="B37" s="434" t="s">
        <v>281</v>
      </c>
      <c r="C37" s="478"/>
      <c r="D37" s="478"/>
      <c r="E37" s="483">
        <v>10965</v>
      </c>
      <c r="F37" s="483">
        <v>10965</v>
      </c>
      <c r="G37" s="478"/>
      <c r="H37" s="478"/>
      <c r="I37" s="456"/>
    </row>
    <row r="38" spans="1:9" s="396" customFormat="1" ht="36">
      <c r="A38" s="408"/>
      <c r="B38" s="404" t="str">
        <f>+เป้าหมาย!A15</f>
        <v>1.2.4 ร้อยละที่เพิ่มขึ้นของผู้ใช้บริการทรัพยากรอิเล็กทรอนิกส์</v>
      </c>
      <c r="C38" s="478"/>
      <c r="D38" s="478"/>
      <c r="E38" s="484">
        <f>(E44-E40)*100/E40</f>
        <v>58.285882181913486</v>
      </c>
      <c r="F38" s="484">
        <f>(F44-F40)*100/F40</f>
        <v>58.286368322394452</v>
      </c>
      <c r="G38" s="478"/>
      <c r="H38" s="478"/>
      <c r="I38" s="455"/>
    </row>
    <row r="39" spans="1:9" s="396" customFormat="1" ht="36">
      <c r="A39" s="500"/>
      <c r="B39" s="496" t="s">
        <v>150</v>
      </c>
      <c r="C39" s="478"/>
      <c r="D39" s="478"/>
      <c r="E39" s="503">
        <f>IF(E38&lt;1,1,IF(E38&lt;3,2,IF(E38&lt;5,3,IF(E38&lt;7,4,IF(E38&gt;=7,5,)))))</f>
        <v>5</v>
      </c>
      <c r="F39" s="503">
        <f>IF(F38&lt;1,1,IF(F38&lt;3,2,IF(F38&lt;5,3,IF(F38&lt;7,4,IF(F38&gt;=7,5,)))))</f>
        <v>5</v>
      </c>
      <c r="G39" s="478"/>
      <c r="H39" s="478"/>
      <c r="I39" s="502"/>
    </row>
    <row r="40" spans="1:9" s="396" customFormat="1" ht="36">
      <c r="A40" s="394"/>
      <c r="B40" s="430" t="s">
        <v>285</v>
      </c>
      <c r="C40" s="478"/>
      <c r="D40" s="478"/>
      <c r="E40" s="485">
        <v>976794</v>
      </c>
      <c r="F40" s="464">
        <f>+F41+F42+F43</f>
        <v>976791</v>
      </c>
      <c r="G40" s="478"/>
      <c r="H40" s="478"/>
      <c r="I40" s="456"/>
    </row>
    <row r="41" spans="1:9" s="396" customFormat="1" ht="36">
      <c r="A41" s="394"/>
      <c r="B41" s="433" t="s">
        <v>282</v>
      </c>
      <c r="C41" s="478"/>
      <c r="D41" s="478"/>
      <c r="E41" s="483">
        <v>656559</v>
      </c>
      <c r="F41" s="483">
        <v>656559</v>
      </c>
      <c r="G41" s="478"/>
      <c r="H41" s="478"/>
      <c r="I41" s="456"/>
    </row>
    <row r="42" spans="1:9" s="396" customFormat="1" ht="36">
      <c r="A42" s="394"/>
      <c r="B42" s="433" t="s">
        <v>283</v>
      </c>
      <c r="C42" s="478"/>
      <c r="D42" s="478"/>
      <c r="E42" s="483">
        <v>228323</v>
      </c>
      <c r="F42" s="483">
        <v>228323</v>
      </c>
      <c r="G42" s="478"/>
      <c r="H42" s="478"/>
      <c r="I42" s="456"/>
    </row>
    <row r="43" spans="1:9" s="396" customFormat="1" ht="36">
      <c r="A43" s="394"/>
      <c r="B43" s="433" t="s">
        <v>284</v>
      </c>
      <c r="C43" s="478"/>
      <c r="D43" s="478"/>
      <c r="E43" s="483">
        <v>91909</v>
      </c>
      <c r="F43" s="483">
        <v>91909</v>
      </c>
      <c r="G43" s="478"/>
      <c r="H43" s="478"/>
      <c r="I43" s="456"/>
    </row>
    <row r="44" spans="1:9" s="396" customFormat="1" ht="36">
      <c r="A44" s="394"/>
      <c r="B44" s="430" t="s">
        <v>286</v>
      </c>
      <c r="C44" s="478"/>
      <c r="D44" s="478"/>
      <c r="E44" s="445">
        <f>+E45+E46+E47</f>
        <v>1546127</v>
      </c>
      <c r="F44" s="445">
        <f>+F45+F46+F47</f>
        <v>1546127</v>
      </c>
      <c r="G44" s="478"/>
      <c r="H44" s="478"/>
      <c r="I44" s="456"/>
    </row>
    <row r="45" spans="1:9" s="396" customFormat="1" ht="36">
      <c r="A45" s="394"/>
      <c r="B45" s="433" t="s">
        <v>282</v>
      </c>
      <c r="C45" s="478"/>
      <c r="D45" s="478"/>
      <c r="E45" s="483">
        <v>1113903</v>
      </c>
      <c r="F45" s="483">
        <v>1113903</v>
      </c>
      <c r="G45" s="478"/>
      <c r="H45" s="478"/>
      <c r="I45" s="456"/>
    </row>
    <row r="46" spans="1:9" s="396" customFormat="1" ht="36">
      <c r="A46" s="394"/>
      <c r="B46" s="433" t="s">
        <v>283</v>
      </c>
      <c r="C46" s="478"/>
      <c r="D46" s="478"/>
      <c r="E46" s="483">
        <v>216634</v>
      </c>
      <c r="F46" s="483">
        <v>216634</v>
      </c>
      <c r="G46" s="478"/>
      <c r="H46" s="478"/>
      <c r="I46" s="456"/>
    </row>
    <row r="47" spans="1:9" s="396" customFormat="1" ht="36">
      <c r="A47" s="394"/>
      <c r="B47" s="433" t="s">
        <v>284</v>
      </c>
      <c r="C47" s="478"/>
      <c r="D47" s="478"/>
      <c r="E47" s="483">
        <v>215590</v>
      </c>
      <c r="F47" s="483">
        <v>215590</v>
      </c>
      <c r="G47" s="478"/>
      <c r="H47" s="478"/>
      <c r="I47" s="456"/>
    </row>
    <row r="48" spans="1:9" s="396" customFormat="1" ht="55.5">
      <c r="A48" s="408"/>
      <c r="B48" s="404" t="str">
        <f>+เป้าหมาย!A16</f>
        <v>1.2.5 จำนวนสื่อการเรียนรู้ที่พัฒนาและสอดคล้องกับโครงสร้างรายวิชาและแผนการสอน (มคอ.3)</v>
      </c>
      <c r="C48" s="478"/>
      <c r="D48" s="478"/>
      <c r="E48" s="477">
        <v>41</v>
      </c>
      <c r="F48" s="477">
        <v>41</v>
      </c>
      <c r="G48" s="478"/>
      <c r="H48" s="478"/>
      <c r="I48" s="455"/>
    </row>
    <row r="49" spans="1:9" s="396" customFormat="1" ht="36">
      <c r="A49" s="500"/>
      <c r="B49" s="496" t="s">
        <v>150</v>
      </c>
      <c r="C49" s="478"/>
      <c r="D49" s="478"/>
      <c r="E49" s="503">
        <f>IF(E48&lt;6,0,IF(E48&lt;12,1,IF(E48&lt;18,2,IF(E48&lt;24,3,IF(E48&lt;30,4,IF(E48&gt;=30,5,))))))</f>
        <v>5</v>
      </c>
      <c r="F49" s="503">
        <f>IF(F48&lt;6,0,IF(F48&lt;12,1,IF(F48&lt;18,2,IF(F48&lt;24,3,IF(F48&lt;30,4,IF(F48&gt;=30,5,))))))</f>
        <v>5</v>
      </c>
      <c r="G49" s="478"/>
      <c r="H49" s="478"/>
      <c r="I49" s="502"/>
    </row>
    <row r="50" spans="1:9">
      <c r="A50" s="393">
        <v>1.2</v>
      </c>
      <c r="B50" s="392" t="s">
        <v>237</v>
      </c>
      <c r="C50" s="327"/>
      <c r="D50" s="327"/>
      <c r="E50" s="327"/>
      <c r="F50" s="327"/>
      <c r="G50" s="327"/>
      <c r="H50" s="327"/>
      <c r="I50" s="450"/>
    </row>
    <row r="51" spans="1:9" s="396" customFormat="1" ht="36">
      <c r="A51" s="408"/>
      <c r="B51" s="404" t="str">
        <f>+เป้าหมาย!A18</f>
        <v>ตัวบ่งชี้ที่ 1.2.1 ระบบสารสนเทศเพื่อการบริการมหาวิทยาลัย</v>
      </c>
      <c r="C51" s="478"/>
      <c r="D51" s="478"/>
      <c r="E51" s="478"/>
      <c r="F51" s="478"/>
      <c r="G51" s="477">
        <f>+SUM(G53:G60)</f>
        <v>8</v>
      </c>
      <c r="H51" s="477">
        <f>+SUM(H53:H60)</f>
        <v>8</v>
      </c>
      <c r="I51" s="455"/>
    </row>
    <row r="52" spans="1:9" s="396" customFormat="1">
      <c r="A52" s="504"/>
      <c r="B52" s="496" t="s">
        <v>150</v>
      </c>
      <c r="C52" s="478"/>
      <c r="D52" s="478"/>
      <c r="E52" s="478"/>
      <c r="F52" s="478"/>
      <c r="G52" s="497">
        <f>IF(G51&lt;1,0,IF(G51&lt;3,1,IF(G51&lt;5,2,IF(G51&lt;7,3,IF(G51=7,4,IF(G51=8,5))))))</f>
        <v>5</v>
      </c>
      <c r="H52" s="497">
        <f>IF(H51&lt;1,0,IF(H51&lt;3,1,IF(H51&lt;5,2,IF(H51&lt;7,3,IF(H51=7,4,IF(H51=8,5))))))</f>
        <v>5</v>
      </c>
      <c r="I52" s="502"/>
    </row>
    <row r="53" spans="1:9" s="396" customFormat="1" ht="48">
      <c r="A53" s="409"/>
      <c r="B53" s="385" t="s">
        <v>256</v>
      </c>
      <c r="C53" s="478"/>
      <c r="D53" s="478"/>
      <c r="E53" s="478"/>
      <c r="F53" s="478"/>
      <c r="G53" s="486">
        <v>1</v>
      </c>
      <c r="H53" s="487">
        <v>1</v>
      </c>
      <c r="I53" s="456"/>
    </row>
    <row r="54" spans="1:9" s="396" customFormat="1" ht="48">
      <c r="A54" s="409"/>
      <c r="B54" s="385" t="s">
        <v>257</v>
      </c>
      <c r="C54" s="478"/>
      <c r="D54" s="478"/>
      <c r="E54" s="478"/>
      <c r="F54" s="478"/>
      <c r="G54" s="486">
        <v>1</v>
      </c>
      <c r="H54" s="487">
        <v>1</v>
      </c>
      <c r="I54" s="456"/>
    </row>
    <row r="55" spans="1:9" s="396" customFormat="1" ht="36">
      <c r="A55" s="409"/>
      <c r="B55" s="385" t="s">
        <v>258</v>
      </c>
      <c r="C55" s="478"/>
      <c r="D55" s="478"/>
      <c r="E55" s="478"/>
      <c r="F55" s="478"/>
      <c r="G55" s="486">
        <v>1</v>
      </c>
      <c r="H55" s="487">
        <v>1</v>
      </c>
      <c r="I55" s="456"/>
    </row>
    <row r="56" spans="1:9" s="396" customFormat="1" ht="36">
      <c r="A56" s="409"/>
      <c r="B56" s="385" t="s">
        <v>259</v>
      </c>
      <c r="C56" s="478"/>
      <c r="D56" s="478"/>
      <c r="E56" s="478"/>
      <c r="F56" s="478"/>
      <c r="G56" s="486">
        <v>1</v>
      </c>
      <c r="H56" s="487">
        <v>1</v>
      </c>
      <c r="I56" s="456"/>
    </row>
    <row r="57" spans="1:9" s="396" customFormat="1" ht="36">
      <c r="A57" s="409"/>
      <c r="B57" s="385" t="s">
        <v>260</v>
      </c>
      <c r="C57" s="478"/>
      <c r="D57" s="478"/>
      <c r="E57" s="478"/>
      <c r="F57" s="478"/>
      <c r="G57" s="486">
        <v>1</v>
      </c>
      <c r="H57" s="487">
        <v>1</v>
      </c>
      <c r="I57" s="456"/>
    </row>
    <row r="58" spans="1:9" s="396" customFormat="1" ht="36">
      <c r="A58" s="409"/>
      <c r="B58" s="385" t="s">
        <v>261</v>
      </c>
      <c r="C58" s="478"/>
      <c r="D58" s="478"/>
      <c r="E58" s="478"/>
      <c r="F58" s="478"/>
      <c r="G58" s="486">
        <v>1</v>
      </c>
      <c r="H58" s="487">
        <v>1</v>
      </c>
      <c r="I58" s="456"/>
    </row>
    <row r="59" spans="1:9" s="396" customFormat="1" ht="36">
      <c r="A59" s="409"/>
      <c r="B59" s="385" t="s">
        <v>262</v>
      </c>
      <c r="C59" s="478"/>
      <c r="D59" s="478"/>
      <c r="E59" s="478"/>
      <c r="F59" s="478"/>
      <c r="G59" s="486">
        <v>1</v>
      </c>
      <c r="H59" s="487">
        <v>1</v>
      </c>
      <c r="I59" s="456"/>
    </row>
    <row r="60" spans="1:9" s="396" customFormat="1" ht="36">
      <c r="A60" s="409"/>
      <c r="B60" s="385" t="s">
        <v>263</v>
      </c>
      <c r="C60" s="478"/>
      <c r="D60" s="478"/>
      <c r="E60" s="478"/>
      <c r="F60" s="478"/>
      <c r="G60" s="486">
        <v>1</v>
      </c>
      <c r="H60" s="487">
        <v>1</v>
      </c>
      <c r="I60" s="456"/>
    </row>
    <row r="61" spans="1:9" s="396" customFormat="1" ht="55.5">
      <c r="A61" s="408"/>
      <c r="B61" s="404" t="str">
        <f>+เป้าหมาย!A19</f>
        <v>ตัวบ่งชี้ที่ 1.2.2 ระดับความสำเร็จของการรักษาความปลอดภัยของระบบเครือข่ายมหาวิทยาลัย (Security)</v>
      </c>
      <c r="C61" s="478"/>
      <c r="D61" s="478"/>
      <c r="E61" s="478"/>
      <c r="F61" s="478"/>
      <c r="G61" s="477">
        <f>+SUM(G63:G67)</f>
        <v>5</v>
      </c>
      <c r="H61" s="477">
        <f>+SUM(H63:H67)</f>
        <v>5</v>
      </c>
      <c r="I61" s="455"/>
    </row>
    <row r="62" spans="1:9" s="396" customFormat="1">
      <c r="A62" s="504"/>
      <c r="B62" s="496" t="s">
        <v>150</v>
      </c>
      <c r="C62" s="478"/>
      <c r="D62" s="478"/>
      <c r="E62" s="478"/>
      <c r="F62" s="478"/>
      <c r="G62" s="497">
        <f>IF(G61&lt;1,0,IF(G61&lt;2,1,IF(G61&lt;3,2,IF(G61&lt;4,3,IF(G61&lt;5,4,IF(G61=5,5))))))</f>
        <v>5</v>
      </c>
      <c r="H62" s="497">
        <f>IF(H61&lt;1,0,IF(H61&lt;2,1,IF(H61&lt;3,2,IF(H61&lt;4,3,IF(H61&lt;5,4,IF(H61=5,5))))))</f>
        <v>5</v>
      </c>
      <c r="I62" s="502"/>
    </row>
    <row r="63" spans="1:9" s="396" customFormat="1" ht="36">
      <c r="A63" s="409"/>
      <c r="B63" s="384" t="s">
        <v>264</v>
      </c>
      <c r="C63" s="478"/>
      <c r="D63" s="478"/>
      <c r="E63" s="478"/>
      <c r="F63" s="478"/>
      <c r="G63" s="486">
        <v>1</v>
      </c>
      <c r="H63" s="487">
        <v>1</v>
      </c>
      <c r="I63" s="456"/>
    </row>
    <row r="64" spans="1:9" s="396" customFormat="1" ht="36">
      <c r="A64" s="409"/>
      <c r="B64" s="384" t="s">
        <v>265</v>
      </c>
      <c r="C64" s="478"/>
      <c r="D64" s="478"/>
      <c r="E64" s="478"/>
      <c r="F64" s="478"/>
      <c r="G64" s="486">
        <v>1</v>
      </c>
      <c r="H64" s="487">
        <v>1</v>
      </c>
      <c r="I64" s="456"/>
    </row>
    <row r="65" spans="1:9" s="396" customFormat="1" ht="36">
      <c r="A65" s="409"/>
      <c r="B65" s="384" t="s">
        <v>266</v>
      </c>
      <c r="C65" s="478"/>
      <c r="D65" s="478"/>
      <c r="E65" s="478"/>
      <c r="F65" s="478"/>
      <c r="G65" s="486">
        <v>1</v>
      </c>
      <c r="H65" s="487">
        <v>1</v>
      </c>
      <c r="I65" s="456"/>
    </row>
    <row r="66" spans="1:9" s="396" customFormat="1" ht="36">
      <c r="A66" s="409"/>
      <c r="B66" s="384" t="s">
        <v>267</v>
      </c>
      <c r="C66" s="478"/>
      <c r="D66" s="478"/>
      <c r="E66" s="478"/>
      <c r="F66" s="478"/>
      <c r="G66" s="486">
        <v>1</v>
      </c>
      <c r="H66" s="487">
        <v>1</v>
      </c>
      <c r="I66" s="456"/>
    </row>
    <row r="67" spans="1:9" s="396" customFormat="1" ht="36">
      <c r="A67" s="409"/>
      <c r="B67" s="384" t="s">
        <v>268</v>
      </c>
      <c r="C67" s="478"/>
      <c r="D67" s="478"/>
      <c r="E67" s="478"/>
      <c r="F67" s="478"/>
      <c r="G67" s="486">
        <v>1</v>
      </c>
      <c r="H67" s="487">
        <v>1</v>
      </c>
      <c r="I67" s="456"/>
    </row>
    <row r="68" spans="1:9" s="396" customFormat="1" ht="36">
      <c r="A68" s="408"/>
      <c r="B68" s="404" t="str">
        <f>+เป้าหมาย!A20</f>
        <v>ตัวบ่งชี้ที่ 1.2.3 ระดับความพึงพอใจของผู้รับบริการ</v>
      </c>
      <c r="C68" s="478"/>
      <c r="D68" s="478"/>
      <c r="E68" s="478"/>
      <c r="F68" s="478"/>
      <c r="G68" s="477">
        <v>3.47</v>
      </c>
      <c r="H68" s="477">
        <v>3.47</v>
      </c>
      <c r="I68" s="455"/>
    </row>
    <row r="69" spans="1:9" s="396" customFormat="1">
      <c r="A69" s="504"/>
      <c r="B69" s="496" t="s">
        <v>150</v>
      </c>
      <c r="C69" s="478"/>
      <c r="D69" s="478"/>
      <c r="E69" s="478"/>
      <c r="F69" s="478"/>
      <c r="G69" s="497">
        <f>IF(G68&lt;1.51,1,IF(G68&lt;2.51,2,IF(G68&lt;3.51,3,IF(G68&lt;4.51,4,IF(G68&gt;=4.51,5,)))))</f>
        <v>3</v>
      </c>
      <c r="H69" s="497">
        <f>IF(H68&lt;1.51,1,IF(H68&lt;2.51,2,IF(H68&lt;3.51,3,IF(H68&lt;4.51,4,IF(H68&gt;=4.51,5,)))))</f>
        <v>3</v>
      </c>
      <c r="I69" s="502"/>
    </row>
    <row r="70" spans="1:9" s="396" customFormat="1" ht="36">
      <c r="A70" s="408"/>
      <c r="B70" s="404" t="str">
        <f>+เป้าหมาย!A21</f>
        <v>ตัวบ่งชี้ที่ 1.2.4 ระดับความสำเร็จของการบริการวิชาการ</v>
      </c>
      <c r="C70" s="478"/>
      <c r="D70" s="478"/>
      <c r="E70" s="478"/>
      <c r="F70" s="478"/>
      <c r="G70" s="477">
        <f>+SUM(G72:G76)</f>
        <v>5</v>
      </c>
      <c r="H70" s="477">
        <f>+SUM(H72:H76)</f>
        <v>5</v>
      </c>
      <c r="I70" s="455"/>
    </row>
    <row r="71" spans="1:9" s="396" customFormat="1">
      <c r="A71" s="504"/>
      <c r="B71" s="496" t="s">
        <v>150</v>
      </c>
      <c r="C71" s="478"/>
      <c r="D71" s="478"/>
      <c r="E71" s="478"/>
      <c r="F71" s="478"/>
      <c r="G71" s="497">
        <f>IF(G70&lt;1,0,IF(G70&lt;2,1,IF(G70&lt;3,2,IF(G70&lt;4,3,IF(G70&lt;5,4,IF(G70=5,5))))))</f>
        <v>5</v>
      </c>
      <c r="H71" s="497">
        <f>IF(H70&lt;1,0,IF(H70&lt;2,1,IF(H70&lt;3,2,IF(H70&lt;4,3,IF(H70&lt;5,4,IF(H70=5,5))))))</f>
        <v>5</v>
      </c>
      <c r="I71" s="502"/>
    </row>
    <row r="72" spans="1:9" s="396" customFormat="1" ht="36">
      <c r="A72" s="409"/>
      <c r="B72" s="385" t="s">
        <v>269</v>
      </c>
      <c r="C72" s="478"/>
      <c r="D72" s="478"/>
      <c r="E72" s="478"/>
      <c r="F72" s="478"/>
      <c r="G72" s="486">
        <v>1</v>
      </c>
      <c r="H72" s="487">
        <v>1</v>
      </c>
      <c r="I72" s="456"/>
    </row>
    <row r="73" spans="1:9" s="396" customFormat="1" ht="48">
      <c r="A73" s="409"/>
      <c r="B73" s="385" t="s">
        <v>270</v>
      </c>
      <c r="C73" s="478"/>
      <c r="D73" s="478"/>
      <c r="E73" s="478"/>
      <c r="F73" s="478"/>
      <c r="G73" s="486">
        <v>1</v>
      </c>
      <c r="H73" s="487">
        <v>1</v>
      </c>
      <c r="I73" s="456"/>
    </row>
    <row r="74" spans="1:9" s="396" customFormat="1" ht="36">
      <c r="A74" s="409"/>
      <c r="B74" s="385" t="s">
        <v>271</v>
      </c>
      <c r="C74" s="478"/>
      <c r="D74" s="478"/>
      <c r="E74" s="478"/>
      <c r="F74" s="478"/>
      <c r="G74" s="486">
        <v>1</v>
      </c>
      <c r="H74" s="487">
        <v>1</v>
      </c>
      <c r="I74" s="456"/>
    </row>
    <row r="75" spans="1:9" s="396" customFormat="1" ht="36">
      <c r="A75" s="409"/>
      <c r="B75" s="385" t="s">
        <v>272</v>
      </c>
      <c r="C75" s="478"/>
      <c r="D75" s="478"/>
      <c r="E75" s="478"/>
      <c r="F75" s="478"/>
      <c r="G75" s="486">
        <v>1</v>
      </c>
      <c r="H75" s="487">
        <v>1</v>
      </c>
      <c r="I75" s="456"/>
    </row>
    <row r="76" spans="1:9" s="396" customFormat="1" ht="36">
      <c r="A76" s="409"/>
      <c r="B76" s="385" t="s">
        <v>273</v>
      </c>
      <c r="C76" s="478"/>
      <c r="D76" s="478"/>
      <c r="E76" s="478"/>
      <c r="F76" s="478"/>
      <c r="G76" s="486">
        <v>1</v>
      </c>
      <c r="H76" s="487">
        <v>1</v>
      </c>
      <c r="I76" s="456"/>
    </row>
    <row r="77" spans="1:9">
      <c r="A77" s="170" t="s">
        <v>50</v>
      </c>
      <c r="B77" s="294"/>
      <c r="C77" s="440">
        <f>+SUM(C79,C88,C95,C102,C123,C126,C135,C137)/8</f>
        <v>4.7387499999999996</v>
      </c>
      <c r="D77" s="475">
        <f>+SUM(D79,D88,D95,D102,D123,D126,D135,D137)/เป้าหมาย!C22</f>
        <v>4.4887499999999996</v>
      </c>
      <c r="E77" s="440">
        <f>+SUM(E79,E88,E95,E102,E123,E126,)/6</f>
        <v>4.9283333333333337</v>
      </c>
      <c r="F77" s="475">
        <f>+SUM(F79,F88,F95,F102,F123,F126,)/เป้าหมาย!D22</f>
        <v>4.1516666666666664</v>
      </c>
      <c r="G77" s="440">
        <f>+SUM(G79,G88,G95,G102,G123,G126,G145,G147,G149,G156,G158,G165,G167,G174)/14</f>
        <v>4.661428571428571</v>
      </c>
      <c r="H77" s="475">
        <f>+SUM(H79,H88,H95,H102,H123,H126,H145,H147,H149,H156,H158,H165,H167,H174)/เป้าหมาย!E22</f>
        <v>4.589999999999999</v>
      </c>
      <c r="I77" s="457"/>
    </row>
    <row r="78" spans="1:9" s="158" customFormat="1" ht="42.75" customHeight="1">
      <c r="A78" s="416">
        <v>7.1</v>
      </c>
      <c r="B78" s="299" t="s">
        <v>91</v>
      </c>
      <c r="C78" s="427">
        <f>+SUM(C80:C86)</f>
        <v>7</v>
      </c>
      <c r="D78" s="427">
        <f>+SUM(D80:D86)</f>
        <v>5</v>
      </c>
      <c r="E78" s="417">
        <f t="shared" ref="E78" si="4">+SUM(E80:E86)</f>
        <v>7</v>
      </c>
      <c r="F78" s="417">
        <f t="shared" ref="F78:H78" si="5">+SUM(F80:F86)</f>
        <v>6</v>
      </c>
      <c r="G78" s="417">
        <f t="shared" ref="G78" si="6">+SUM(G80:G86)</f>
        <v>7</v>
      </c>
      <c r="H78" s="417">
        <f t="shared" si="5"/>
        <v>7</v>
      </c>
      <c r="I78" s="458"/>
    </row>
    <row r="79" spans="1:9" s="158" customFormat="1" ht="42.75" customHeight="1">
      <c r="A79" s="505"/>
      <c r="B79" s="496" t="s">
        <v>150</v>
      </c>
      <c r="C79" s="497">
        <f t="shared" ref="C79" si="7">IF(C78&lt;1,0,IF(C78&lt;2,1,IF(C78&lt;4,2,IF(C78&lt;6,3,IF(C78=6,4,IF(C78=7,5,))))))</f>
        <v>5</v>
      </c>
      <c r="D79" s="514">
        <f t="shared" ref="D79:H79" si="8">IF(D78&lt;1,0,IF(D78&lt;2,1,IF(D78&lt;4,2,IF(D78&lt;6,3,IF(D78=6,4,IF(D78=7,5,))))))</f>
        <v>3</v>
      </c>
      <c r="E79" s="497">
        <f t="shared" ref="E79" si="9">IF(E78&lt;1,0,IF(E78&lt;2,1,IF(E78&lt;4,2,IF(E78&lt;6,3,IF(E78=6,4,IF(E78=7,5,))))))</f>
        <v>5</v>
      </c>
      <c r="F79" s="514">
        <f t="shared" si="8"/>
        <v>4</v>
      </c>
      <c r="G79" s="497">
        <f t="shared" ref="G79" si="10">IF(G78&lt;1,0,IF(G78&lt;2,1,IF(G78&lt;4,2,IF(G78&lt;6,3,IF(G78=6,4,IF(G78=7,5,))))))</f>
        <v>5</v>
      </c>
      <c r="H79" s="497">
        <f t="shared" si="8"/>
        <v>5</v>
      </c>
      <c r="I79" s="506"/>
    </row>
    <row r="80" spans="1:9" s="158" customFormat="1" ht="69.75" customHeight="1">
      <c r="A80" s="398"/>
      <c r="B80" s="399" t="s">
        <v>204</v>
      </c>
      <c r="C80" s="325">
        <v>1</v>
      </c>
      <c r="D80" s="465">
        <v>1</v>
      </c>
      <c r="E80" s="325">
        <v>1</v>
      </c>
      <c r="F80" s="465">
        <v>1</v>
      </c>
      <c r="G80" s="325">
        <v>1</v>
      </c>
      <c r="H80" s="465">
        <v>1</v>
      </c>
      <c r="I80" s="471" t="s">
        <v>289</v>
      </c>
    </row>
    <row r="81" spans="1:10" s="161" customFormat="1" ht="81" customHeight="1">
      <c r="A81" s="400"/>
      <c r="B81" s="401" t="s">
        <v>129</v>
      </c>
      <c r="C81" s="325">
        <v>1</v>
      </c>
      <c r="D81" s="467">
        <v>0</v>
      </c>
      <c r="E81" s="325">
        <v>1</v>
      </c>
      <c r="F81" s="465">
        <v>1</v>
      </c>
      <c r="G81" s="325">
        <v>1</v>
      </c>
      <c r="H81" s="465">
        <v>1</v>
      </c>
      <c r="I81" s="471" t="s">
        <v>290</v>
      </c>
    </row>
    <row r="82" spans="1:10" s="161" customFormat="1" ht="72">
      <c r="A82" s="400"/>
      <c r="B82" s="401" t="s">
        <v>130</v>
      </c>
      <c r="C82" s="325">
        <v>1</v>
      </c>
      <c r="D82" s="465">
        <v>1</v>
      </c>
      <c r="E82" s="325">
        <v>1</v>
      </c>
      <c r="F82" s="465">
        <v>1</v>
      </c>
      <c r="G82" s="325">
        <v>1</v>
      </c>
      <c r="H82" s="465">
        <v>1</v>
      </c>
      <c r="I82" s="370"/>
    </row>
    <row r="83" spans="1:10" s="161" customFormat="1" ht="48">
      <c r="A83" s="400"/>
      <c r="B83" s="401" t="s">
        <v>92</v>
      </c>
      <c r="C83" s="325">
        <v>1</v>
      </c>
      <c r="D83" s="465">
        <v>1</v>
      </c>
      <c r="E83" s="325">
        <v>1</v>
      </c>
      <c r="F83" s="465">
        <v>1</v>
      </c>
      <c r="G83" s="325">
        <v>1</v>
      </c>
      <c r="H83" s="465">
        <v>1</v>
      </c>
      <c r="I83" s="370"/>
    </row>
    <row r="84" spans="1:10" s="161" customFormat="1" ht="48">
      <c r="A84" s="160"/>
      <c r="B84" s="297" t="s">
        <v>131</v>
      </c>
      <c r="C84" s="325">
        <v>1</v>
      </c>
      <c r="D84" s="465">
        <v>1</v>
      </c>
      <c r="E84" s="325">
        <v>1</v>
      </c>
      <c r="F84" s="465">
        <v>1</v>
      </c>
      <c r="G84" s="325">
        <v>1</v>
      </c>
      <c r="H84" s="465">
        <v>1</v>
      </c>
      <c r="I84" s="370"/>
    </row>
    <row r="85" spans="1:10" s="161" customFormat="1" ht="54.75" customHeight="1">
      <c r="A85" s="160"/>
      <c r="B85" s="297" t="s">
        <v>132</v>
      </c>
      <c r="C85" s="325">
        <v>1</v>
      </c>
      <c r="D85" s="465">
        <v>1</v>
      </c>
      <c r="E85" s="325">
        <v>1</v>
      </c>
      <c r="F85" s="465">
        <v>1</v>
      </c>
      <c r="G85" s="325">
        <v>1</v>
      </c>
      <c r="H85" s="465">
        <v>1</v>
      </c>
      <c r="I85" s="471" t="s">
        <v>291</v>
      </c>
    </row>
    <row r="86" spans="1:10" s="161" customFormat="1" ht="61.5" customHeight="1">
      <c r="A86" s="160"/>
      <c r="B86" s="374" t="s">
        <v>210</v>
      </c>
      <c r="C86" s="325">
        <v>1</v>
      </c>
      <c r="D86" s="467">
        <v>0</v>
      </c>
      <c r="E86" s="325">
        <v>1</v>
      </c>
      <c r="F86" s="467">
        <v>0</v>
      </c>
      <c r="G86" s="325">
        <v>1</v>
      </c>
      <c r="H86" s="465">
        <v>1</v>
      </c>
      <c r="I86" s="471" t="s">
        <v>292</v>
      </c>
      <c r="J86" s="373"/>
    </row>
    <row r="87" spans="1:10" s="161" customFormat="1">
      <c r="A87" s="188">
        <v>7.2</v>
      </c>
      <c r="B87" s="299" t="s">
        <v>22</v>
      </c>
      <c r="C87" s="427">
        <f>+SUM(C89:C93)</f>
        <v>5</v>
      </c>
      <c r="D87" s="427">
        <f>+SUM(D89:D93)</f>
        <v>5</v>
      </c>
      <c r="E87" s="417">
        <f t="shared" ref="E87" si="11">+SUM(E89:E93)</f>
        <v>5</v>
      </c>
      <c r="F87" s="417">
        <f t="shared" ref="F87:H87" si="12">+SUM(F89:F93)</f>
        <v>2</v>
      </c>
      <c r="G87" s="417">
        <f t="shared" ref="G87" si="13">+SUM(G89:G93)</f>
        <v>5</v>
      </c>
      <c r="H87" s="417">
        <f t="shared" si="12"/>
        <v>4</v>
      </c>
      <c r="I87" s="458"/>
    </row>
    <row r="88" spans="1:10" s="158" customFormat="1" ht="42.75" customHeight="1">
      <c r="A88" s="505"/>
      <c r="B88" s="496" t="s">
        <v>150</v>
      </c>
      <c r="C88" s="497">
        <f t="shared" ref="C88" si="14">IF(C87&lt;1,0,IF(C87&lt;2,1,IF(C87&lt;3,2,IF(C87&lt;4,3,IF(C87&lt;5,4,IF(C87=5,5))))))</f>
        <v>5</v>
      </c>
      <c r="D88" s="497">
        <f t="shared" ref="D88:H88" si="15">IF(D87&lt;1,0,IF(D87&lt;2,1,IF(D87&lt;3,2,IF(D87&lt;4,3,IF(D87&lt;5,4,IF(D87=5,5))))))</f>
        <v>5</v>
      </c>
      <c r="E88" s="497">
        <f t="shared" ref="E88" si="16">IF(E87&lt;1,0,IF(E87&lt;2,1,IF(E87&lt;3,2,IF(E87&lt;4,3,IF(E87&lt;5,4,IF(E87=5,5))))))</f>
        <v>5</v>
      </c>
      <c r="F88" s="514">
        <f t="shared" si="15"/>
        <v>2</v>
      </c>
      <c r="G88" s="497">
        <f t="shared" ref="G88" si="17">IF(G87&lt;1,0,IF(G87&lt;2,1,IF(G87&lt;3,2,IF(G87&lt;4,3,IF(G87&lt;5,4,IF(G87=5,5))))))</f>
        <v>5</v>
      </c>
      <c r="H88" s="514">
        <f t="shared" si="15"/>
        <v>4</v>
      </c>
      <c r="I88" s="506"/>
    </row>
    <row r="89" spans="1:10" s="161" customFormat="1" ht="81.75" customHeight="1">
      <c r="A89" s="160"/>
      <c r="B89" s="297" t="s">
        <v>23</v>
      </c>
      <c r="C89" s="325">
        <v>1</v>
      </c>
      <c r="D89" s="465">
        <v>1</v>
      </c>
      <c r="E89" s="325">
        <v>1</v>
      </c>
      <c r="F89" s="465">
        <v>1</v>
      </c>
      <c r="G89" s="325">
        <v>1</v>
      </c>
      <c r="H89" s="465">
        <v>1</v>
      </c>
      <c r="I89" s="471" t="s">
        <v>293</v>
      </c>
    </row>
    <row r="90" spans="1:10" s="161" customFormat="1" ht="48">
      <c r="A90" s="160"/>
      <c r="B90" s="297" t="s">
        <v>24</v>
      </c>
      <c r="C90" s="325">
        <v>1</v>
      </c>
      <c r="D90" s="465">
        <v>1</v>
      </c>
      <c r="E90" s="325">
        <v>1</v>
      </c>
      <c r="F90" s="465">
        <v>1</v>
      </c>
      <c r="G90" s="325">
        <v>1</v>
      </c>
      <c r="H90" s="465">
        <v>1</v>
      </c>
      <c r="I90" s="471"/>
    </row>
    <row r="91" spans="1:10" s="161" customFormat="1" ht="102" customHeight="1">
      <c r="A91" s="160"/>
      <c r="B91" s="297" t="s">
        <v>25</v>
      </c>
      <c r="C91" s="325">
        <v>1</v>
      </c>
      <c r="D91" s="465">
        <v>1</v>
      </c>
      <c r="E91" s="325">
        <v>1</v>
      </c>
      <c r="F91" s="467">
        <v>0</v>
      </c>
      <c r="G91" s="325">
        <v>1</v>
      </c>
      <c r="H91" s="465">
        <v>1</v>
      </c>
      <c r="I91" s="471"/>
    </row>
    <row r="92" spans="1:10" s="161" customFormat="1" ht="72">
      <c r="A92" s="160"/>
      <c r="B92" s="297" t="s">
        <v>26</v>
      </c>
      <c r="C92" s="325">
        <v>1</v>
      </c>
      <c r="D92" s="465">
        <v>1</v>
      </c>
      <c r="E92" s="325">
        <v>1</v>
      </c>
      <c r="F92" s="467">
        <v>0</v>
      </c>
      <c r="G92" s="325">
        <v>1</v>
      </c>
      <c r="H92" s="465">
        <v>1</v>
      </c>
      <c r="I92" s="471"/>
    </row>
    <row r="93" spans="1:10" s="161" customFormat="1" ht="100.5" customHeight="1">
      <c r="A93" s="160"/>
      <c r="B93" s="297" t="s">
        <v>133</v>
      </c>
      <c r="C93" s="325">
        <v>1</v>
      </c>
      <c r="D93" s="465">
        <v>1</v>
      </c>
      <c r="E93" s="325">
        <v>1</v>
      </c>
      <c r="F93" s="467">
        <v>0</v>
      </c>
      <c r="G93" s="325">
        <v>1</v>
      </c>
      <c r="H93" s="467">
        <v>0</v>
      </c>
      <c r="I93" s="471" t="s">
        <v>304</v>
      </c>
    </row>
    <row r="94" spans="1:10" s="161" customFormat="1">
      <c r="A94" s="188">
        <v>7.3</v>
      </c>
      <c r="B94" s="444" t="s">
        <v>27</v>
      </c>
      <c r="C94" s="427">
        <f>+SUM(C96:C100)</f>
        <v>5</v>
      </c>
      <c r="D94" s="427">
        <f>+SUM(D96:D100)</f>
        <v>5</v>
      </c>
      <c r="E94" s="417">
        <f t="shared" ref="E94" si="18">+SUM(E96:E100)</f>
        <v>5</v>
      </c>
      <c r="F94" s="417">
        <f t="shared" ref="F94:H94" si="19">+SUM(F96:F100)</f>
        <v>5</v>
      </c>
      <c r="G94" s="417">
        <f t="shared" ref="G94" si="20">+SUM(G96:G100)</f>
        <v>5</v>
      </c>
      <c r="H94" s="417">
        <f t="shared" si="19"/>
        <v>5</v>
      </c>
      <c r="I94" s="458"/>
    </row>
    <row r="95" spans="1:10" s="158" customFormat="1" ht="42.75" customHeight="1">
      <c r="A95" s="505"/>
      <c r="B95" s="496" t="s">
        <v>150</v>
      </c>
      <c r="C95" s="497">
        <f t="shared" ref="C95" si="21">IF(C94&lt;1,0,IF(C94&lt;2,1,IF(C94&lt;3,2,IF(C94&lt;4,3,IF(C94=4,4,IF(C94=5,5,))))))</f>
        <v>5</v>
      </c>
      <c r="D95" s="497">
        <f t="shared" ref="D95:H95" si="22">IF(D94&lt;1,0,IF(D94&lt;2,1,IF(D94&lt;3,2,IF(D94&lt;4,3,IF(D94=4,4,IF(D94=5,5,))))))</f>
        <v>5</v>
      </c>
      <c r="E95" s="497">
        <f t="shared" ref="E95" si="23">IF(E94&lt;1,0,IF(E94&lt;2,1,IF(E94&lt;3,2,IF(E94&lt;4,3,IF(E94=4,4,IF(E94=5,5,))))))</f>
        <v>5</v>
      </c>
      <c r="F95" s="497">
        <f t="shared" si="22"/>
        <v>5</v>
      </c>
      <c r="G95" s="497">
        <f t="shared" ref="G95" si="24">IF(G94&lt;1,0,IF(G94&lt;2,1,IF(G94&lt;3,2,IF(G94&lt;4,3,IF(G94=4,4,IF(G94=5,5,))))))</f>
        <v>5</v>
      </c>
      <c r="H95" s="497">
        <f t="shared" si="22"/>
        <v>5</v>
      </c>
      <c r="I95" s="506"/>
    </row>
    <row r="96" spans="1:10" s="161" customFormat="1" ht="83.25">
      <c r="A96" s="160"/>
      <c r="B96" s="297" t="s">
        <v>28</v>
      </c>
      <c r="C96" s="325">
        <v>1</v>
      </c>
      <c r="D96" s="465">
        <v>1</v>
      </c>
      <c r="E96" s="325">
        <v>1</v>
      </c>
      <c r="F96" s="465">
        <v>1</v>
      </c>
      <c r="G96" s="325">
        <v>1</v>
      </c>
      <c r="H96" s="465">
        <v>1</v>
      </c>
      <c r="I96" s="471" t="s">
        <v>294</v>
      </c>
    </row>
    <row r="97" spans="1:9" s="161" customFormat="1" ht="96">
      <c r="A97" s="160"/>
      <c r="B97" s="297" t="s">
        <v>302</v>
      </c>
      <c r="C97" s="325">
        <v>1</v>
      </c>
      <c r="D97" s="465">
        <v>1</v>
      </c>
      <c r="E97" s="325">
        <v>1</v>
      </c>
      <c r="F97" s="465">
        <v>1</v>
      </c>
      <c r="G97" s="325">
        <v>1</v>
      </c>
      <c r="H97" s="465">
        <v>1</v>
      </c>
      <c r="I97" s="370"/>
    </row>
    <row r="98" spans="1:9" s="161" customFormat="1">
      <c r="A98" s="160"/>
      <c r="B98" s="297" t="s">
        <v>29</v>
      </c>
      <c r="C98" s="325">
        <v>1</v>
      </c>
      <c r="D98" s="465">
        <v>1</v>
      </c>
      <c r="E98" s="325">
        <v>1</v>
      </c>
      <c r="F98" s="465">
        <v>1</v>
      </c>
      <c r="G98" s="325">
        <v>1</v>
      </c>
      <c r="H98" s="465">
        <v>1</v>
      </c>
      <c r="I98" s="446"/>
    </row>
    <row r="99" spans="1:9" s="161" customFormat="1" ht="48">
      <c r="A99" s="160"/>
      <c r="B99" s="297" t="s">
        <v>30</v>
      </c>
      <c r="C99" s="325">
        <v>1</v>
      </c>
      <c r="D99" s="465">
        <v>1</v>
      </c>
      <c r="E99" s="325">
        <v>1</v>
      </c>
      <c r="F99" s="465">
        <v>1</v>
      </c>
      <c r="G99" s="325">
        <v>1</v>
      </c>
      <c r="H99" s="465">
        <v>1</v>
      </c>
      <c r="I99" s="370"/>
    </row>
    <row r="100" spans="1:9" s="161" customFormat="1" ht="48">
      <c r="A100" s="160"/>
      <c r="B100" s="297" t="s">
        <v>31</v>
      </c>
      <c r="C100" s="325">
        <v>1</v>
      </c>
      <c r="D100" s="465">
        <v>1</v>
      </c>
      <c r="E100" s="325">
        <v>1</v>
      </c>
      <c r="F100" s="465">
        <v>1</v>
      </c>
      <c r="G100" s="325">
        <v>1</v>
      </c>
      <c r="H100" s="465">
        <v>1</v>
      </c>
      <c r="I100" s="370"/>
    </row>
    <row r="101" spans="1:9" s="161" customFormat="1" ht="36.75" customHeight="1">
      <c r="A101" s="188">
        <v>7.4</v>
      </c>
      <c r="B101" s="299" t="s">
        <v>32</v>
      </c>
      <c r="C101" s="427">
        <f>+SUM(C103:C114)</f>
        <v>6</v>
      </c>
      <c r="D101" s="427">
        <f>+D103+D104+D111+D112+D113+D114</f>
        <v>6</v>
      </c>
      <c r="E101" s="417">
        <f t="shared" ref="E101" si="25">+SUM(E103:E114)</f>
        <v>6</v>
      </c>
      <c r="F101" s="427">
        <f>+F103+F104+F111+F112+F113+F114</f>
        <v>6</v>
      </c>
      <c r="G101" s="417">
        <f t="shared" ref="G101" si="26">+SUM(G103:G114)</f>
        <v>6</v>
      </c>
      <c r="H101" s="427">
        <f>+H103+H104+H111+H112+H113+H114</f>
        <v>6</v>
      </c>
      <c r="I101" s="458"/>
    </row>
    <row r="102" spans="1:9" s="158" customFormat="1" ht="42.75" customHeight="1">
      <c r="A102" s="505"/>
      <c r="B102" s="496" t="s">
        <v>150</v>
      </c>
      <c r="C102" s="497">
        <f t="shared" ref="C102" si="27">IF(C101&lt;1,0,IF(C101&lt;2,1,IF(C101&lt;3,2,IF(C101&lt;5,3,IF(C101=5,4,IF(C101&gt;=6,5,))))))</f>
        <v>5</v>
      </c>
      <c r="D102" s="497">
        <f t="shared" ref="D102:H102" si="28">IF(D101&lt;1,0,IF(D101&lt;2,1,IF(D101&lt;3,2,IF(D101&lt;5,3,IF(D101=5,4,IF(D101&gt;=6,5,))))))</f>
        <v>5</v>
      </c>
      <c r="E102" s="497">
        <f t="shared" ref="E102" si="29">IF(E101&lt;1,0,IF(E101&lt;2,1,IF(E101&lt;3,2,IF(E101&lt;5,3,IF(E101=5,4,IF(E101&gt;=6,5,))))))</f>
        <v>5</v>
      </c>
      <c r="F102" s="497">
        <f t="shared" si="28"/>
        <v>5</v>
      </c>
      <c r="G102" s="497">
        <f t="shared" ref="G102" si="30">IF(G101&lt;1,0,IF(G101&lt;2,1,IF(G101&lt;3,2,IF(G101&lt;5,3,IF(G101=5,4,IF(G101&gt;=6,5,))))))</f>
        <v>5</v>
      </c>
      <c r="H102" s="497">
        <f t="shared" si="28"/>
        <v>5</v>
      </c>
      <c r="I102" s="506"/>
    </row>
    <row r="103" spans="1:9" s="161" customFormat="1" ht="72">
      <c r="A103" s="160"/>
      <c r="B103" s="297" t="s">
        <v>33</v>
      </c>
      <c r="C103" s="325">
        <v>1</v>
      </c>
      <c r="D103" s="465">
        <v>1</v>
      </c>
      <c r="E103" s="325">
        <v>1</v>
      </c>
      <c r="F103" s="465">
        <v>1</v>
      </c>
      <c r="G103" s="325">
        <v>1</v>
      </c>
      <c r="H103" s="465">
        <v>1</v>
      </c>
      <c r="I103" s="370"/>
    </row>
    <row r="104" spans="1:9" s="161" customFormat="1" ht="48">
      <c r="A104" s="160"/>
      <c r="B104" s="297" t="s">
        <v>34</v>
      </c>
      <c r="C104" s="522">
        <v>1</v>
      </c>
      <c r="D104" s="465">
        <v>1</v>
      </c>
      <c r="E104" s="522">
        <v>1</v>
      </c>
      <c r="F104" s="465">
        <v>1</v>
      </c>
      <c r="G104" s="522">
        <v>1</v>
      </c>
      <c r="H104" s="465">
        <v>1</v>
      </c>
      <c r="I104" s="370"/>
    </row>
    <row r="105" spans="1:9" s="161" customFormat="1" ht="48">
      <c r="A105" s="160"/>
      <c r="B105" s="298" t="s">
        <v>35</v>
      </c>
      <c r="C105" s="523"/>
      <c r="D105" s="442" t="s">
        <v>295</v>
      </c>
      <c r="E105" s="523"/>
      <c r="F105" s="442" t="s">
        <v>295</v>
      </c>
      <c r="G105" s="523"/>
      <c r="H105" s="442" t="s">
        <v>295</v>
      </c>
      <c r="I105" s="459"/>
    </row>
    <row r="106" spans="1:9" s="161" customFormat="1">
      <c r="A106" s="160"/>
      <c r="B106" s="298" t="s">
        <v>36</v>
      </c>
      <c r="C106" s="523"/>
      <c r="D106" s="442" t="s">
        <v>295</v>
      </c>
      <c r="E106" s="523"/>
      <c r="F106" s="329"/>
      <c r="G106" s="523"/>
      <c r="H106" s="329"/>
      <c r="I106" s="459"/>
    </row>
    <row r="107" spans="1:9" s="161" customFormat="1">
      <c r="A107" s="160"/>
      <c r="B107" s="298" t="s">
        <v>37</v>
      </c>
      <c r="C107" s="523"/>
      <c r="D107" s="329"/>
      <c r="E107" s="523"/>
      <c r="F107" s="329"/>
      <c r="G107" s="523"/>
      <c r="H107" s="329"/>
      <c r="I107" s="459"/>
    </row>
    <row r="108" spans="1:9" s="161" customFormat="1" ht="48">
      <c r="A108" s="160"/>
      <c r="B108" s="298" t="s">
        <v>38</v>
      </c>
      <c r="C108" s="523"/>
      <c r="D108" s="442" t="s">
        <v>295</v>
      </c>
      <c r="E108" s="523"/>
      <c r="F108" s="329"/>
      <c r="G108" s="523"/>
      <c r="H108" s="442" t="s">
        <v>295</v>
      </c>
      <c r="I108" s="459"/>
    </row>
    <row r="109" spans="1:9" s="161" customFormat="1" ht="48">
      <c r="A109" s="160"/>
      <c r="B109" s="298" t="s">
        <v>39</v>
      </c>
      <c r="C109" s="523"/>
      <c r="D109" s="329"/>
      <c r="E109" s="523"/>
      <c r="F109" s="442" t="s">
        <v>295</v>
      </c>
      <c r="G109" s="523"/>
      <c r="H109" s="442" t="s">
        <v>295</v>
      </c>
      <c r="I109" s="459"/>
    </row>
    <row r="110" spans="1:9" s="161" customFormat="1">
      <c r="A110" s="160"/>
      <c r="B110" s="298" t="s">
        <v>40</v>
      </c>
      <c r="C110" s="524"/>
      <c r="D110" s="329"/>
      <c r="E110" s="524"/>
      <c r="F110" s="442" t="s">
        <v>295</v>
      </c>
      <c r="G110" s="524"/>
      <c r="H110" s="329"/>
      <c r="I110" s="459"/>
    </row>
    <row r="111" spans="1:9" s="161" customFormat="1" ht="48">
      <c r="A111" s="160"/>
      <c r="B111" s="297" t="s">
        <v>41</v>
      </c>
      <c r="C111" s="325">
        <v>1</v>
      </c>
      <c r="D111" s="465">
        <v>1</v>
      </c>
      <c r="E111" s="325">
        <v>1</v>
      </c>
      <c r="F111" s="465">
        <v>1</v>
      </c>
      <c r="G111" s="325">
        <v>1</v>
      </c>
      <c r="H111" s="465">
        <v>1</v>
      </c>
      <c r="I111" s="370"/>
    </row>
    <row r="112" spans="1:9" s="161" customFormat="1" ht="48">
      <c r="A112" s="160"/>
      <c r="B112" s="297" t="s">
        <v>42</v>
      </c>
      <c r="C112" s="325">
        <v>1</v>
      </c>
      <c r="D112" s="465">
        <v>1</v>
      </c>
      <c r="E112" s="325">
        <v>1</v>
      </c>
      <c r="F112" s="465">
        <v>1</v>
      </c>
      <c r="G112" s="325">
        <v>1</v>
      </c>
      <c r="H112" s="465">
        <v>1</v>
      </c>
      <c r="I112" s="370"/>
    </row>
    <row r="113" spans="1:9" s="161" customFormat="1" ht="48">
      <c r="A113" s="160"/>
      <c r="B113" s="297" t="s">
        <v>43</v>
      </c>
      <c r="C113" s="325">
        <v>1</v>
      </c>
      <c r="D113" s="465">
        <v>1</v>
      </c>
      <c r="E113" s="325">
        <v>1</v>
      </c>
      <c r="F113" s="465">
        <v>1</v>
      </c>
      <c r="G113" s="325">
        <v>1</v>
      </c>
      <c r="H113" s="465">
        <v>1</v>
      </c>
      <c r="I113" s="370"/>
    </row>
    <row r="114" spans="1:9" s="161" customFormat="1" ht="48">
      <c r="A114" s="160"/>
      <c r="B114" s="291" t="s">
        <v>134</v>
      </c>
      <c r="C114" s="325">
        <v>1</v>
      </c>
      <c r="D114" s="465">
        <v>1</v>
      </c>
      <c r="E114" s="325">
        <v>1</v>
      </c>
      <c r="F114" s="465">
        <v>1</v>
      </c>
      <c r="G114" s="325">
        <v>1</v>
      </c>
      <c r="H114" s="465">
        <v>1</v>
      </c>
      <c r="I114" s="370"/>
    </row>
    <row r="115" spans="1:9" s="161" customFormat="1" ht="30.75" hidden="1">
      <c r="A115" s="169">
        <v>7.5</v>
      </c>
      <c r="B115" s="293" t="s">
        <v>44</v>
      </c>
      <c r="C115" s="331"/>
      <c r="D115" s="331"/>
      <c r="E115" s="331"/>
      <c r="F115" s="331"/>
      <c r="G115" s="331"/>
      <c r="H115" s="331"/>
      <c r="I115" s="447"/>
    </row>
    <row r="116" spans="1:9" s="161" customFormat="1" ht="48" hidden="1">
      <c r="A116" s="160"/>
      <c r="B116" s="292" t="s">
        <v>110</v>
      </c>
      <c r="C116" s="328" t="s">
        <v>112</v>
      </c>
      <c r="D116" s="328" t="s">
        <v>112</v>
      </c>
      <c r="E116" s="328" t="s">
        <v>112</v>
      </c>
      <c r="F116" s="328" t="s">
        <v>112</v>
      </c>
      <c r="G116" s="328" t="s">
        <v>112</v>
      </c>
      <c r="H116" s="328" t="s">
        <v>112</v>
      </c>
      <c r="I116" s="460"/>
    </row>
    <row r="117" spans="1:9" s="161" customFormat="1" hidden="1">
      <c r="A117" s="160"/>
      <c r="B117" s="291" t="s">
        <v>45</v>
      </c>
      <c r="C117" s="328" t="s">
        <v>95</v>
      </c>
      <c r="D117" s="328" t="s">
        <v>95</v>
      </c>
      <c r="E117" s="328" t="s">
        <v>95</v>
      </c>
      <c r="F117" s="328" t="s">
        <v>95</v>
      </c>
      <c r="G117" s="328" t="s">
        <v>95</v>
      </c>
      <c r="H117" s="328" t="s">
        <v>95</v>
      </c>
      <c r="I117" s="460"/>
    </row>
    <row r="118" spans="1:9" s="161" customFormat="1" ht="48" hidden="1">
      <c r="A118" s="160"/>
      <c r="B118" s="291" t="s">
        <v>46</v>
      </c>
      <c r="C118" s="328" t="s">
        <v>95</v>
      </c>
      <c r="D118" s="328" t="s">
        <v>95</v>
      </c>
      <c r="E118" s="328" t="s">
        <v>95</v>
      </c>
      <c r="F118" s="328" t="s">
        <v>95</v>
      </c>
      <c r="G118" s="328" t="s">
        <v>95</v>
      </c>
      <c r="H118" s="328" t="s">
        <v>95</v>
      </c>
      <c r="I118" s="460"/>
    </row>
    <row r="119" spans="1:9" s="161" customFormat="1" ht="72" hidden="1">
      <c r="A119" s="160"/>
      <c r="B119" s="291" t="s">
        <v>47</v>
      </c>
      <c r="C119" s="328" t="s">
        <v>95</v>
      </c>
      <c r="D119" s="328" t="s">
        <v>95</v>
      </c>
      <c r="E119" s="328" t="s">
        <v>95</v>
      </c>
      <c r="F119" s="328" t="s">
        <v>95</v>
      </c>
      <c r="G119" s="328" t="s">
        <v>95</v>
      </c>
      <c r="H119" s="328" t="s">
        <v>95</v>
      </c>
      <c r="I119" s="460"/>
    </row>
    <row r="120" spans="1:9" s="161" customFormat="1" ht="48" hidden="1">
      <c r="A120" s="160"/>
      <c r="B120" s="291" t="s">
        <v>48</v>
      </c>
      <c r="C120" s="328" t="s">
        <v>95</v>
      </c>
      <c r="D120" s="328" t="s">
        <v>95</v>
      </c>
      <c r="E120" s="328" t="s">
        <v>95</v>
      </c>
      <c r="F120" s="328" t="s">
        <v>95</v>
      </c>
      <c r="G120" s="328" t="s">
        <v>95</v>
      </c>
      <c r="H120" s="328" t="s">
        <v>95</v>
      </c>
      <c r="I120" s="460"/>
    </row>
    <row r="121" spans="1:9" s="161" customFormat="1" ht="72" hidden="1">
      <c r="A121" s="160"/>
      <c r="B121" s="291" t="s">
        <v>49</v>
      </c>
      <c r="C121" s="328" t="s">
        <v>95</v>
      </c>
      <c r="D121" s="328" t="s">
        <v>95</v>
      </c>
      <c r="E121" s="328" t="s">
        <v>95</v>
      </c>
      <c r="F121" s="328" t="s">
        <v>95</v>
      </c>
      <c r="G121" s="328" t="s">
        <v>95</v>
      </c>
      <c r="H121" s="328" t="s">
        <v>95</v>
      </c>
      <c r="I121" s="460"/>
    </row>
    <row r="122" spans="1:9" s="161" customFormat="1" ht="42" customHeight="1">
      <c r="A122" s="402"/>
      <c r="B122" s="418" t="s">
        <v>172</v>
      </c>
      <c r="C122" s="419">
        <v>3.91</v>
      </c>
      <c r="D122" s="419">
        <v>3.91</v>
      </c>
      <c r="E122" s="419">
        <v>4.57</v>
      </c>
      <c r="F122" s="419">
        <v>3.91</v>
      </c>
      <c r="G122" s="419">
        <v>4.26</v>
      </c>
      <c r="H122" s="419">
        <v>4.26</v>
      </c>
      <c r="I122" s="452"/>
    </row>
    <row r="123" spans="1:9" s="158" customFormat="1">
      <c r="A123" s="505"/>
      <c r="B123" s="496" t="s">
        <v>150</v>
      </c>
      <c r="C123" s="507">
        <f t="shared" ref="C123:H123" si="31">+C122</f>
        <v>3.91</v>
      </c>
      <c r="D123" s="507">
        <f t="shared" si="31"/>
        <v>3.91</v>
      </c>
      <c r="E123" s="507">
        <f t="shared" si="31"/>
        <v>4.57</v>
      </c>
      <c r="F123" s="507">
        <f t="shared" si="31"/>
        <v>3.91</v>
      </c>
      <c r="G123" s="507">
        <f t="shared" si="31"/>
        <v>4.26</v>
      </c>
      <c r="H123" s="507">
        <f t="shared" si="31"/>
        <v>4.26</v>
      </c>
      <c r="I123" s="506"/>
    </row>
    <row r="124" spans="1:9">
      <c r="A124" s="393">
        <v>7.6</v>
      </c>
      <c r="B124" s="392" t="s">
        <v>238</v>
      </c>
      <c r="C124" s="327"/>
      <c r="D124" s="327"/>
      <c r="E124" s="327"/>
      <c r="F124" s="327"/>
      <c r="G124" s="327"/>
      <c r="H124" s="327"/>
      <c r="I124" s="450"/>
    </row>
    <row r="125" spans="1:9" s="161" customFormat="1" ht="42" customHeight="1">
      <c r="A125" s="402"/>
      <c r="B125" s="418" t="str">
        <f>+เป้าหมาย!A29</f>
        <v>ตัวบ่งชี้ 7.6.1 ระบบพัฒนาบุคลากร</v>
      </c>
      <c r="C125" s="417">
        <f>+SUM(C127:C133)</f>
        <v>7</v>
      </c>
      <c r="D125" s="417">
        <f>+SUM(D127:D133)</f>
        <v>7</v>
      </c>
      <c r="E125" s="417">
        <f t="shared" ref="E125" si="32">+SUM(E127:E133)</f>
        <v>7</v>
      </c>
      <c r="F125" s="417">
        <f t="shared" ref="F125:H125" si="33">+SUM(F127:F133)</f>
        <v>7</v>
      </c>
      <c r="G125" s="417">
        <f t="shared" ref="G125" si="34">+SUM(G127:G133)</f>
        <v>7</v>
      </c>
      <c r="H125" s="417">
        <f t="shared" si="33"/>
        <v>7</v>
      </c>
      <c r="I125" s="452"/>
    </row>
    <row r="126" spans="1:9" s="158" customFormat="1">
      <c r="A126" s="505"/>
      <c r="B126" s="496" t="s">
        <v>150</v>
      </c>
      <c r="C126" s="508">
        <f>IF(C125&lt;1,0,IF(C125&lt;2,1,IF(C125&lt;3,2,IF(C125&lt;5,3,IF(C125&lt;7,4,IF(C125=7,5))))))</f>
        <v>5</v>
      </c>
      <c r="D126" s="508">
        <f>IF(D125&lt;1,0,IF(D125&lt;2,1,IF(D125&lt;3,2,IF(D125&lt;5,3,IF(D125&lt;7,4,IF(D125=7,5))))))</f>
        <v>5</v>
      </c>
      <c r="E126" s="508">
        <f t="shared" ref="E126:F126" si="35">IF(E125&lt;1,0,IF(E125&lt;2,1,IF(E125&lt;3,2,IF(E125&lt;5,3,IF(E125&lt;7,4,IF(E125=7,5))))))</f>
        <v>5</v>
      </c>
      <c r="F126" s="508">
        <f t="shared" si="35"/>
        <v>5</v>
      </c>
      <c r="G126" s="508">
        <f>IF(G125&lt;1,0,IF(G125&lt;2,1,IF(G125&lt;3,2,IF(G125&lt;5,3,IF(G125&lt;7,4,IF(G125=7,5))))))</f>
        <v>5</v>
      </c>
      <c r="H126" s="508">
        <f>IF(H125&lt;1,0,IF(H125&lt;2,1,IF(H125&lt;3,2,IF(H125&lt;5,3,IF(H125&lt;7,4,IF(H125=7,5))))))</f>
        <v>5</v>
      </c>
      <c r="I126" s="506"/>
    </row>
    <row r="127" spans="1:9" s="161" customFormat="1" ht="48">
      <c r="A127" s="160"/>
      <c r="B127" s="291" t="s">
        <v>173</v>
      </c>
      <c r="C127" s="325">
        <v>1</v>
      </c>
      <c r="D127" s="465">
        <v>1</v>
      </c>
      <c r="E127" s="325">
        <v>1</v>
      </c>
      <c r="F127" s="465">
        <v>1</v>
      </c>
      <c r="G127" s="325">
        <v>1</v>
      </c>
      <c r="H127" s="465">
        <v>1</v>
      </c>
      <c r="I127" s="370"/>
    </row>
    <row r="128" spans="1:9" s="161" customFormat="1" ht="48">
      <c r="A128" s="160"/>
      <c r="B128" s="291" t="s">
        <v>174</v>
      </c>
      <c r="C128" s="325">
        <v>1</v>
      </c>
      <c r="D128" s="465">
        <v>1</v>
      </c>
      <c r="E128" s="325">
        <v>1</v>
      </c>
      <c r="F128" s="465">
        <v>1</v>
      </c>
      <c r="G128" s="325">
        <v>1</v>
      </c>
      <c r="H128" s="465">
        <v>1</v>
      </c>
      <c r="I128" s="370"/>
    </row>
    <row r="129" spans="1:9" s="161" customFormat="1" ht="48">
      <c r="A129" s="160"/>
      <c r="B129" s="291" t="s">
        <v>175</v>
      </c>
      <c r="C129" s="325">
        <v>1</v>
      </c>
      <c r="D129" s="465">
        <v>1</v>
      </c>
      <c r="E129" s="325">
        <v>1</v>
      </c>
      <c r="F129" s="465">
        <v>1</v>
      </c>
      <c r="G129" s="325">
        <v>1</v>
      </c>
      <c r="H129" s="465">
        <v>1</v>
      </c>
      <c r="I129" s="370"/>
    </row>
    <row r="130" spans="1:9" s="161" customFormat="1" ht="48">
      <c r="A130" s="160"/>
      <c r="B130" s="291" t="s">
        <v>176</v>
      </c>
      <c r="C130" s="325">
        <v>1</v>
      </c>
      <c r="D130" s="465">
        <v>1</v>
      </c>
      <c r="E130" s="325">
        <v>1</v>
      </c>
      <c r="F130" s="465">
        <v>1</v>
      </c>
      <c r="G130" s="325">
        <v>1</v>
      </c>
      <c r="H130" s="465">
        <v>1</v>
      </c>
      <c r="I130" s="370"/>
    </row>
    <row r="131" spans="1:9" s="161" customFormat="1" ht="48">
      <c r="A131" s="160"/>
      <c r="B131" s="291" t="s">
        <v>177</v>
      </c>
      <c r="C131" s="325">
        <v>1</v>
      </c>
      <c r="D131" s="465">
        <v>1</v>
      </c>
      <c r="E131" s="325">
        <v>1</v>
      </c>
      <c r="F131" s="465">
        <v>1</v>
      </c>
      <c r="G131" s="325">
        <v>1</v>
      </c>
      <c r="H131" s="465">
        <v>1</v>
      </c>
      <c r="I131" s="370"/>
    </row>
    <row r="132" spans="1:9" s="161" customFormat="1" ht="48">
      <c r="A132" s="160"/>
      <c r="B132" s="291" t="s">
        <v>178</v>
      </c>
      <c r="C132" s="325">
        <v>1</v>
      </c>
      <c r="D132" s="465">
        <v>1</v>
      </c>
      <c r="E132" s="325">
        <v>1</v>
      </c>
      <c r="F132" s="465">
        <v>1</v>
      </c>
      <c r="G132" s="325">
        <v>1</v>
      </c>
      <c r="H132" s="465">
        <v>1</v>
      </c>
      <c r="I132" s="370"/>
    </row>
    <row r="133" spans="1:9" s="161" customFormat="1" ht="48">
      <c r="A133" s="160"/>
      <c r="B133" s="291" t="s">
        <v>179</v>
      </c>
      <c r="C133" s="325">
        <v>1</v>
      </c>
      <c r="D133" s="465">
        <v>1</v>
      </c>
      <c r="E133" s="325">
        <v>1</v>
      </c>
      <c r="F133" s="465">
        <v>1</v>
      </c>
      <c r="G133" s="325">
        <v>1</v>
      </c>
      <c r="H133" s="465">
        <v>1</v>
      </c>
      <c r="I133" s="370"/>
    </row>
    <row r="134" spans="1:9" s="161" customFormat="1" ht="55.5">
      <c r="A134" s="402"/>
      <c r="B134" s="418" t="str">
        <f>+เป้าหมาย!A30</f>
        <v>ตัวบ่งชี้ 7.6.2 ระดับความพึงพอใจของบุคลากรทุกระดับต่อกระบวนการพัฒนาความรู้และทักษะของสำนักงานอธิการบดี</v>
      </c>
      <c r="C134" s="417">
        <v>4.24</v>
      </c>
      <c r="D134" s="417">
        <v>4.24</v>
      </c>
      <c r="E134" s="478"/>
      <c r="F134" s="478"/>
      <c r="G134" s="478"/>
      <c r="H134" s="478"/>
      <c r="I134" s="452"/>
    </row>
    <row r="135" spans="1:9" s="161" customFormat="1">
      <c r="A135" s="499"/>
      <c r="B135" s="509" t="s">
        <v>150</v>
      </c>
      <c r="C135" s="507">
        <v>4</v>
      </c>
      <c r="D135" s="507">
        <v>4</v>
      </c>
      <c r="E135" s="478"/>
      <c r="F135" s="478"/>
      <c r="G135" s="478"/>
      <c r="H135" s="478"/>
      <c r="I135" s="510"/>
    </row>
    <row r="136" spans="1:9" s="161" customFormat="1" ht="55.5">
      <c r="A136" s="402"/>
      <c r="B136" s="418" t="str">
        <f>+เป้าหมาย!A31</f>
        <v>ตัวบ่งชี้ที่ 7.6.3 ร้อยละของบุคลากรที่ได้รับการพัฒนาความรู้และทักษะ</v>
      </c>
      <c r="C136" s="420">
        <f>+C138*100/C139</f>
        <v>84.671532846715323</v>
      </c>
      <c r="D136" s="420">
        <f>+D138*100/D139</f>
        <v>84.671532846715323</v>
      </c>
      <c r="E136" s="478"/>
      <c r="F136" s="478"/>
      <c r="G136" s="478"/>
      <c r="H136" s="478"/>
      <c r="I136" s="452"/>
    </row>
    <row r="137" spans="1:9" s="161" customFormat="1">
      <c r="A137" s="499"/>
      <c r="B137" s="509" t="s">
        <v>150</v>
      </c>
      <c r="C137" s="497">
        <f>+IF(C136&lt;80,C136*5/80,IF(C136&gt;=80,5))</f>
        <v>5</v>
      </c>
      <c r="D137" s="497">
        <f>+IF(D136&lt;80,D136*5/80,IF(D136&gt;=80,5))</f>
        <v>5</v>
      </c>
      <c r="E137" s="488"/>
      <c r="F137" s="488"/>
      <c r="G137" s="478"/>
      <c r="H137" s="478"/>
      <c r="I137" s="510"/>
    </row>
    <row r="138" spans="1:9" s="161" customFormat="1">
      <c r="A138" s="354"/>
      <c r="B138" s="291" t="s">
        <v>196</v>
      </c>
      <c r="C138" s="325">
        <v>232</v>
      </c>
      <c r="D138" s="325">
        <v>232</v>
      </c>
      <c r="E138" s="478"/>
      <c r="F138" s="478"/>
      <c r="G138" s="478"/>
      <c r="H138" s="478"/>
      <c r="I138" s="370"/>
    </row>
    <row r="139" spans="1:9" s="161" customFormat="1">
      <c r="A139" s="354"/>
      <c r="B139" s="291" t="s">
        <v>191</v>
      </c>
      <c r="C139" s="443">
        <v>274</v>
      </c>
      <c r="D139" s="443">
        <v>274</v>
      </c>
      <c r="E139" s="478"/>
      <c r="F139" s="478"/>
      <c r="G139" s="478"/>
      <c r="H139" s="478"/>
      <c r="I139" s="370"/>
    </row>
    <row r="140" spans="1:9" hidden="1">
      <c r="A140" s="393">
        <v>7.6</v>
      </c>
      <c r="B140" s="392" t="s">
        <v>239</v>
      </c>
      <c r="C140" s="327"/>
      <c r="D140" s="327"/>
      <c r="E140" s="327"/>
      <c r="F140" s="327"/>
      <c r="G140" s="327"/>
      <c r="H140" s="327"/>
      <c r="I140" s="450"/>
    </row>
    <row r="141" spans="1:9" s="161" customFormat="1" hidden="1">
      <c r="A141" s="354"/>
      <c r="B141" s="291" t="str">
        <f>+เป้าหมาย!A33</f>
        <v>ตัวบ่งชี้ 7.6.1 ระบบพัฒนาบุคลากร</v>
      </c>
      <c r="C141" s="478"/>
      <c r="D141" s="478"/>
      <c r="E141" s="325">
        <f>+E125</f>
        <v>7</v>
      </c>
      <c r="F141" s="325">
        <f>+F125</f>
        <v>7</v>
      </c>
      <c r="G141" s="478"/>
      <c r="H141" s="478"/>
      <c r="I141" s="370"/>
    </row>
    <row r="142" spans="1:9">
      <c r="A142" s="393">
        <v>7.6</v>
      </c>
      <c r="B142" s="392" t="s">
        <v>240</v>
      </c>
      <c r="C142" s="327"/>
      <c r="D142" s="327"/>
      <c r="E142" s="327"/>
      <c r="F142" s="327"/>
      <c r="G142" s="327"/>
      <c r="H142" s="327"/>
      <c r="I142" s="450"/>
    </row>
    <row r="143" spans="1:9" s="161" customFormat="1" hidden="1">
      <c r="A143" s="410"/>
      <c r="B143" s="411" t="str">
        <f>+เป้าหมาย!A35</f>
        <v>ตัวบ่งชี้ 7.6.1 ระบบพัฒนาบุคลากร</v>
      </c>
      <c r="C143" s="478"/>
      <c r="D143" s="478"/>
      <c r="E143" s="478"/>
      <c r="F143" s="478"/>
      <c r="G143" s="412">
        <f>+G125</f>
        <v>7</v>
      </c>
      <c r="H143" s="412">
        <f>+H125</f>
        <v>7</v>
      </c>
      <c r="I143" s="461"/>
    </row>
    <row r="144" spans="1:9" s="161" customFormat="1">
      <c r="A144" s="421"/>
      <c r="B144" s="422" t="str">
        <f>+เป้าหมาย!A36</f>
        <v>ตัวบ่งชี้ 7.6.2 ระดับความพึงพอใจของผู้ใช้ฐานข้อมูลกลางของมหาวิทยาลัย</v>
      </c>
      <c r="C144" s="478"/>
      <c r="D144" s="478"/>
      <c r="E144" s="478"/>
      <c r="F144" s="478"/>
      <c r="G144" s="423">
        <v>3.62</v>
      </c>
      <c r="H144" s="423">
        <v>3.62</v>
      </c>
      <c r="I144" s="462"/>
    </row>
    <row r="145" spans="1:9" s="161" customFormat="1">
      <c r="A145" s="511"/>
      <c r="B145" s="509" t="s">
        <v>150</v>
      </c>
      <c r="C145" s="478"/>
      <c r="D145" s="478"/>
      <c r="E145" s="478"/>
      <c r="F145" s="478"/>
      <c r="G145" s="497">
        <f>IF(G144&lt;1.51,1,IF(G144&lt;2.51,2,IF(G144&lt;3.51,3,IF(G144&lt;4.51,4,IF(G144&gt;=4.51,5,)))))</f>
        <v>4</v>
      </c>
      <c r="H145" s="497">
        <f>IF(H144&lt;1.51,1,IF(H144&lt;2.51,2,IF(H144&lt;3.51,3,IF(H144&lt;4.51,4,IF(H144&gt;=4.51,5,)))))</f>
        <v>4</v>
      </c>
      <c r="I145" s="512"/>
    </row>
    <row r="146" spans="1:9" s="161" customFormat="1" ht="48">
      <c r="A146" s="421"/>
      <c r="B146" s="422" t="str">
        <f>+เป้าหมาย!A37</f>
        <v>ตัวบ่งชี้ 7.6.3 จำนวนระบบสารสนเทศที่กำกับดูแลเพื่อการบริการของมหาวิทยาลัย</v>
      </c>
      <c r="C146" s="478"/>
      <c r="D146" s="478"/>
      <c r="E146" s="478"/>
      <c r="F146" s="478"/>
      <c r="G146" s="423">
        <v>5</v>
      </c>
      <c r="H146" s="423">
        <v>5</v>
      </c>
      <c r="I146" s="462"/>
    </row>
    <row r="147" spans="1:9" s="161" customFormat="1">
      <c r="A147" s="511"/>
      <c r="B147" s="509" t="s">
        <v>150</v>
      </c>
      <c r="C147" s="478"/>
      <c r="D147" s="478"/>
      <c r="E147" s="478"/>
      <c r="F147" s="478"/>
      <c r="G147" s="497">
        <f>IF(G146&lt;1,0,IF(G146&lt;2,1,IF(G146&lt;3,2,IF(G146&lt;4,3,IF(G146=4,4,IF(G146=5,5,))))))</f>
        <v>5</v>
      </c>
      <c r="H147" s="497">
        <f>IF(H146&lt;1,0,IF(H146&lt;2,1,IF(H146&lt;3,2,IF(H146&lt;4,3,IF(H146=4,4,IF(H146=5,5,))))))</f>
        <v>5</v>
      </c>
      <c r="I147" s="512"/>
    </row>
    <row r="148" spans="1:9" s="161" customFormat="1" ht="48">
      <c r="A148" s="421"/>
      <c r="B148" s="422" t="str">
        <f>+เป้าหมาย!A38</f>
        <v>ตัวบ่งชี้ 7.6.4 ระดับความสำเร็จการพัฒนาระบบสารสนเทศเพื่อการบริหารจัดการในสำนักคอมพิวเตอร์และเครือข่าย</v>
      </c>
      <c r="C148" s="478"/>
      <c r="D148" s="478"/>
      <c r="E148" s="478"/>
      <c r="F148" s="478"/>
      <c r="G148" s="417">
        <f>+SUM(G150:G154)</f>
        <v>5</v>
      </c>
      <c r="H148" s="417">
        <f>+SUM(H150:H154)</f>
        <v>5</v>
      </c>
      <c r="I148" s="462"/>
    </row>
    <row r="149" spans="1:9" s="161" customFormat="1">
      <c r="A149" s="511"/>
      <c r="B149" s="509" t="s">
        <v>150</v>
      </c>
      <c r="C149" s="478"/>
      <c r="D149" s="478"/>
      <c r="E149" s="478"/>
      <c r="F149" s="478"/>
      <c r="G149" s="497">
        <f>IF(G148&lt;1,0,IF(G148&lt;2,1,IF(G148&lt;3,2,IF(G148&lt;4,3,IF(G148=4,4,IF(G148=5,5,))))))</f>
        <v>5</v>
      </c>
      <c r="H149" s="497">
        <f>IF(H148&lt;1,0,IF(H148&lt;2,1,IF(H148&lt;3,2,IF(H148&lt;4,3,IF(H148=4,4,IF(H148=5,5,))))))</f>
        <v>5</v>
      </c>
      <c r="I149" s="512"/>
    </row>
    <row r="150" spans="1:9" s="161" customFormat="1" ht="48">
      <c r="A150" s="354"/>
      <c r="B150" s="385" t="s">
        <v>241</v>
      </c>
      <c r="C150" s="478"/>
      <c r="D150" s="478"/>
      <c r="E150" s="478"/>
      <c r="F150" s="478"/>
      <c r="G150" s="325">
        <v>1</v>
      </c>
      <c r="H150" s="465">
        <v>1</v>
      </c>
      <c r="I150" s="370"/>
    </row>
    <row r="151" spans="1:9" s="161" customFormat="1" ht="48">
      <c r="A151" s="354"/>
      <c r="B151" s="385" t="s">
        <v>242</v>
      </c>
      <c r="C151" s="478"/>
      <c r="D151" s="478"/>
      <c r="E151" s="478"/>
      <c r="F151" s="478"/>
      <c r="G151" s="325">
        <v>1</v>
      </c>
      <c r="H151" s="465">
        <v>1</v>
      </c>
      <c r="I151" s="370"/>
    </row>
    <row r="152" spans="1:9" s="161" customFormat="1" ht="48">
      <c r="A152" s="354"/>
      <c r="B152" s="385" t="s">
        <v>243</v>
      </c>
      <c r="C152" s="478"/>
      <c r="D152" s="478"/>
      <c r="E152" s="478"/>
      <c r="F152" s="478"/>
      <c r="G152" s="325">
        <v>1</v>
      </c>
      <c r="H152" s="465">
        <v>1</v>
      </c>
      <c r="I152" s="370"/>
    </row>
    <row r="153" spans="1:9" s="161" customFormat="1" ht="48">
      <c r="A153" s="354"/>
      <c r="B153" s="385" t="s">
        <v>244</v>
      </c>
      <c r="C153" s="478"/>
      <c r="D153" s="478"/>
      <c r="E153" s="478"/>
      <c r="F153" s="478"/>
      <c r="G153" s="325">
        <v>1</v>
      </c>
      <c r="H153" s="465">
        <v>1</v>
      </c>
      <c r="I153" s="370"/>
    </row>
    <row r="154" spans="1:9" s="161" customFormat="1" ht="48">
      <c r="A154" s="354"/>
      <c r="B154" s="385" t="s">
        <v>245</v>
      </c>
      <c r="C154" s="478"/>
      <c r="D154" s="478"/>
      <c r="E154" s="478"/>
      <c r="F154" s="478"/>
      <c r="G154" s="325">
        <v>1</v>
      </c>
      <c r="H154" s="465">
        <v>1</v>
      </c>
      <c r="I154" s="370"/>
    </row>
    <row r="155" spans="1:9" s="161" customFormat="1">
      <c r="A155" s="421"/>
      <c r="B155" s="422" t="str">
        <f>+เป้าหมาย!A39</f>
        <v>ตัวบ่งชี้ 7.6.5 ระดับความพึงพอใจของผู้ใช้ระบบเครือข่าย</v>
      </c>
      <c r="C155" s="478"/>
      <c r="D155" s="478"/>
      <c r="E155" s="478"/>
      <c r="F155" s="478"/>
      <c r="G155" s="423">
        <v>3.31</v>
      </c>
      <c r="H155" s="423">
        <v>3.31</v>
      </c>
      <c r="I155" s="462"/>
    </row>
    <row r="156" spans="1:9" s="161" customFormat="1">
      <c r="A156" s="511"/>
      <c r="B156" s="509" t="s">
        <v>150</v>
      </c>
      <c r="C156" s="478"/>
      <c r="D156" s="478"/>
      <c r="E156" s="478"/>
      <c r="F156" s="478"/>
      <c r="G156" s="497">
        <f>IF(G155&lt;1.51,1,IF(G155&lt;2.51,2,IF(G155&lt;3.51,3,IF(G155&lt;4.51,4,IF(G155&gt;=4.51,5,)))))</f>
        <v>3</v>
      </c>
      <c r="H156" s="497">
        <f>IF(H155&lt;1.51,1,IF(H155&lt;2.51,2,IF(H155&lt;3.51,3,IF(H155&lt;4.51,4,IF(H155&gt;=4.51,5,)))))</f>
        <v>3</v>
      </c>
      <c r="I156" s="512"/>
    </row>
    <row r="157" spans="1:9" s="161" customFormat="1">
      <c r="A157" s="421"/>
      <c r="B157" s="422" t="str">
        <f>+เป้าหมาย!A40</f>
        <v>ตัวบ่งชี้ 7.6.6 ระดับความสำเร็จของการใช้งานเครือข่ายไร้สาย</v>
      </c>
      <c r="C157" s="478"/>
      <c r="D157" s="478"/>
      <c r="E157" s="478"/>
      <c r="F157" s="478"/>
      <c r="G157" s="417">
        <f>+SUM(G159:G163)</f>
        <v>5</v>
      </c>
      <c r="H157" s="417">
        <f>+SUM(H159:H163)</f>
        <v>5</v>
      </c>
      <c r="I157" s="462"/>
    </row>
    <row r="158" spans="1:9" s="161" customFormat="1">
      <c r="A158" s="511"/>
      <c r="B158" s="509" t="s">
        <v>150</v>
      </c>
      <c r="C158" s="478"/>
      <c r="D158" s="478"/>
      <c r="E158" s="478"/>
      <c r="F158" s="478"/>
      <c r="G158" s="497">
        <f>IF(G157&lt;1,0,IF(G157&lt;2,1,IF(G157&lt;3,2,IF(G157&lt;4,3,IF(G157=4,4,IF(G157=5,5,))))))</f>
        <v>5</v>
      </c>
      <c r="H158" s="497">
        <f>IF(H157&lt;1,0,IF(H157&lt;2,1,IF(H157&lt;3,2,IF(H157&lt;4,3,IF(H157=4,4,IF(H157=5,5,))))))</f>
        <v>5</v>
      </c>
      <c r="I158" s="512"/>
    </row>
    <row r="159" spans="1:9" s="161" customFormat="1">
      <c r="A159" s="354"/>
      <c r="B159" s="385" t="s">
        <v>246</v>
      </c>
      <c r="C159" s="478"/>
      <c r="D159" s="478"/>
      <c r="E159" s="478"/>
      <c r="F159" s="478"/>
      <c r="G159" s="325">
        <v>1</v>
      </c>
      <c r="H159" s="465">
        <v>1</v>
      </c>
      <c r="I159" s="370"/>
    </row>
    <row r="160" spans="1:9" s="161" customFormat="1">
      <c r="A160" s="354"/>
      <c r="B160" s="385" t="s">
        <v>247</v>
      </c>
      <c r="C160" s="478"/>
      <c r="D160" s="478"/>
      <c r="E160" s="478"/>
      <c r="F160" s="478"/>
      <c r="G160" s="325">
        <v>1</v>
      </c>
      <c r="H160" s="465">
        <v>1</v>
      </c>
      <c r="I160" s="370"/>
    </row>
    <row r="161" spans="1:9" s="161" customFormat="1">
      <c r="A161" s="354"/>
      <c r="B161" s="385" t="s">
        <v>248</v>
      </c>
      <c r="C161" s="478"/>
      <c r="D161" s="478"/>
      <c r="E161" s="478"/>
      <c r="F161" s="478"/>
      <c r="G161" s="325">
        <v>1</v>
      </c>
      <c r="H161" s="465">
        <v>1</v>
      </c>
      <c r="I161" s="370"/>
    </row>
    <row r="162" spans="1:9" s="161" customFormat="1">
      <c r="A162" s="354"/>
      <c r="B162" s="385" t="s">
        <v>249</v>
      </c>
      <c r="C162" s="478"/>
      <c r="D162" s="478"/>
      <c r="E162" s="478"/>
      <c r="F162" s="478"/>
      <c r="G162" s="325">
        <v>1</v>
      </c>
      <c r="H162" s="465">
        <v>1</v>
      </c>
      <c r="I162" s="370"/>
    </row>
    <row r="163" spans="1:9" s="161" customFormat="1" ht="48">
      <c r="A163" s="354"/>
      <c r="B163" s="385" t="s">
        <v>250</v>
      </c>
      <c r="C163" s="478"/>
      <c r="D163" s="478"/>
      <c r="E163" s="478"/>
      <c r="F163" s="478"/>
      <c r="G163" s="325">
        <v>1</v>
      </c>
      <c r="H163" s="465">
        <v>1</v>
      </c>
      <c r="I163" s="370"/>
    </row>
    <row r="164" spans="1:9" s="161" customFormat="1" ht="48">
      <c r="A164" s="421"/>
      <c r="B164" s="422" t="str">
        <f>+เป้าหมาย!A41</f>
        <v>ตัวบ่งชี้ 7.6.7 ระดับความพึงพอใจของผู้เข้ารับการอบรมทุกหลักสูตรโครงการฝึกอบรมและถ่ายทอดเทคโนโลยี</v>
      </c>
      <c r="C164" s="478"/>
      <c r="D164" s="478"/>
      <c r="E164" s="478"/>
      <c r="F164" s="478"/>
      <c r="G164" s="423">
        <v>4.57</v>
      </c>
      <c r="H164" s="423">
        <v>4.57</v>
      </c>
      <c r="I164" s="462"/>
    </row>
    <row r="165" spans="1:9" s="161" customFormat="1">
      <c r="A165" s="511"/>
      <c r="B165" s="509" t="s">
        <v>150</v>
      </c>
      <c r="C165" s="478"/>
      <c r="D165" s="478"/>
      <c r="E165" s="478"/>
      <c r="F165" s="478"/>
      <c r="G165" s="497">
        <f>IF(G164&lt;1.51,1,IF(G164&lt;2.51,2,IF(G164&lt;3.51,3,IF(G164&lt;4.51,4,IF(G164&gt;=4.51,5,)))))</f>
        <v>5</v>
      </c>
      <c r="H165" s="497">
        <f>IF(H164&lt;1.51,1,IF(H164&lt;2.51,2,IF(H164&lt;3.51,3,IF(H164&lt;4.51,4,IF(H164&gt;=4.51,5,)))))</f>
        <v>5</v>
      </c>
      <c r="I165" s="512"/>
    </row>
    <row r="166" spans="1:9" s="161" customFormat="1" ht="48">
      <c r="A166" s="421"/>
      <c r="B166" s="422" t="str">
        <f>+เป้าหมาย!A42</f>
        <v>ตัวบ่งชี้ 7.6.8 ระดับความสำเร็จการให้บริการซ่อมบำรุงคอมพิวเตอร์และอุปกรณ์ต่อพ่วง</v>
      </c>
      <c r="C166" s="478"/>
      <c r="D166" s="478"/>
      <c r="E166" s="478"/>
      <c r="F166" s="478"/>
      <c r="G166" s="417">
        <f>+SUM(G168:G172)</f>
        <v>5</v>
      </c>
      <c r="H166" s="417">
        <f>+SUM(H168:H172)</f>
        <v>5</v>
      </c>
      <c r="I166" s="462"/>
    </row>
    <row r="167" spans="1:9" s="161" customFormat="1">
      <c r="A167" s="511"/>
      <c r="B167" s="509" t="s">
        <v>150</v>
      </c>
      <c r="C167" s="478"/>
      <c r="D167" s="478"/>
      <c r="E167" s="478"/>
      <c r="F167" s="478"/>
      <c r="G167" s="497">
        <f>IF(G166&lt;1,0,IF(G166&lt;2,1,IF(G166&lt;3,2,IF(G166&lt;4,3,IF(G166=4,4,IF(G166=5,5,))))))</f>
        <v>5</v>
      </c>
      <c r="H167" s="497">
        <f>IF(H166&lt;1,0,IF(H166&lt;2,1,IF(H166&lt;3,2,IF(H166&lt;4,3,IF(H166=4,4,IF(H166=5,5,))))))</f>
        <v>5</v>
      </c>
      <c r="I167" s="512"/>
    </row>
    <row r="168" spans="1:9" s="161" customFormat="1">
      <c r="A168" s="354"/>
      <c r="B168" s="385" t="s">
        <v>251</v>
      </c>
      <c r="C168" s="478"/>
      <c r="D168" s="478"/>
      <c r="E168" s="478"/>
      <c r="F168" s="478"/>
      <c r="G168" s="325">
        <v>1</v>
      </c>
      <c r="H168" s="465">
        <v>1</v>
      </c>
      <c r="I168" s="370"/>
    </row>
    <row r="169" spans="1:9" s="161" customFormat="1" ht="48">
      <c r="A169" s="354"/>
      <c r="B169" s="385" t="s">
        <v>252</v>
      </c>
      <c r="C169" s="478"/>
      <c r="D169" s="478"/>
      <c r="E169" s="478"/>
      <c r="F169" s="478"/>
      <c r="G169" s="325">
        <v>1</v>
      </c>
      <c r="H169" s="465">
        <v>1</v>
      </c>
      <c r="I169" s="370"/>
    </row>
    <row r="170" spans="1:9" s="161" customFormat="1">
      <c r="A170" s="354"/>
      <c r="B170" s="385" t="s">
        <v>253</v>
      </c>
      <c r="C170" s="478"/>
      <c r="D170" s="478"/>
      <c r="E170" s="478"/>
      <c r="F170" s="478"/>
      <c r="G170" s="325">
        <v>1</v>
      </c>
      <c r="H170" s="465">
        <v>1</v>
      </c>
      <c r="I170" s="370"/>
    </row>
    <row r="171" spans="1:9" s="161" customFormat="1">
      <c r="A171" s="354"/>
      <c r="B171" s="385" t="s">
        <v>254</v>
      </c>
      <c r="C171" s="478"/>
      <c r="D171" s="478"/>
      <c r="E171" s="478"/>
      <c r="F171" s="478"/>
      <c r="G171" s="325">
        <v>1</v>
      </c>
      <c r="H171" s="465">
        <v>1</v>
      </c>
      <c r="I171" s="370"/>
    </row>
    <row r="172" spans="1:9" s="161" customFormat="1" ht="48">
      <c r="A172" s="354"/>
      <c r="B172" s="385" t="s">
        <v>255</v>
      </c>
      <c r="C172" s="478"/>
      <c r="D172" s="478"/>
      <c r="E172" s="478"/>
      <c r="F172" s="478"/>
      <c r="G172" s="325">
        <v>1</v>
      </c>
      <c r="H172" s="465">
        <v>1</v>
      </c>
      <c r="I172" s="370"/>
    </row>
    <row r="173" spans="1:9" s="161" customFormat="1">
      <c r="A173" s="421"/>
      <c r="B173" s="422" t="str">
        <f>+เป้าหมาย!A43</f>
        <v>ตัวบ่งชี้ 7.6.9 ระดับความพึงพอใจของผู้ใช้งานห้องปฏิบัติการคอมพิวเตอร์</v>
      </c>
      <c r="C173" s="478"/>
      <c r="D173" s="478"/>
      <c r="E173" s="478"/>
      <c r="F173" s="478"/>
      <c r="G173" s="330">
        <v>3.87</v>
      </c>
      <c r="H173" s="330">
        <v>3.87</v>
      </c>
      <c r="I173" s="370"/>
    </row>
    <row r="174" spans="1:9" s="161" customFormat="1">
      <c r="A174" s="511"/>
      <c r="B174" s="509" t="s">
        <v>150</v>
      </c>
      <c r="C174" s="478"/>
      <c r="D174" s="478"/>
      <c r="E174" s="478"/>
      <c r="F174" s="478"/>
      <c r="G174" s="497">
        <f>IF(G173&lt;1.51,1,IF(G173&lt;2.51,2,IF(G173&lt;3.51,3,IF(G173&lt;4.51,4,IF(G173&gt;=4.51,5,)))))</f>
        <v>4</v>
      </c>
      <c r="H174" s="497">
        <f>IF(H173&lt;1.51,1,IF(H173&lt;2.51,2,IF(H173&lt;3.51,3,IF(H173&lt;4.51,4,IF(H173&gt;=4.51,5,)))))</f>
        <v>4</v>
      </c>
      <c r="I174" s="512"/>
    </row>
    <row r="175" spans="1:9">
      <c r="A175" s="171" t="s">
        <v>79</v>
      </c>
      <c r="B175" s="295"/>
      <c r="C175" s="440">
        <f t="shared" ref="C175:H175" si="36">+C177</f>
        <v>3</v>
      </c>
      <c r="D175" s="475">
        <f t="shared" si="36"/>
        <v>2</v>
      </c>
      <c r="E175" s="440">
        <f t="shared" si="36"/>
        <v>5</v>
      </c>
      <c r="F175" s="475">
        <f t="shared" si="36"/>
        <v>3</v>
      </c>
      <c r="G175" s="440">
        <f t="shared" si="36"/>
        <v>5</v>
      </c>
      <c r="H175" s="475">
        <f t="shared" si="36"/>
        <v>4</v>
      </c>
      <c r="I175" s="457"/>
    </row>
    <row r="176" spans="1:9" s="158" customFormat="1" ht="36.75" customHeight="1">
      <c r="A176" s="424">
        <v>8.1</v>
      </c>
      <c r="B176" s="425" t="s">
        <v>51</v>
      </c>
      <c r="C176" s="427">
        <f>+SUM(C178:C184)</f>
        <v>5</v>
      </c>
      <c r="D176" s="427">
        <f>+SUM(D178:D184)</f>
        <v>2</v>
      </c>
      <c r="E176" s="417">
        <f t="shared" ref="E176" si="37">+SUM(E178:E184)</f>
        <v>7</v>
      </c>
      <c r="F176" s="417">
        <f t="shared" ref="F176:H176" si="38">+SUM(F178:F184)</f>
        <v>5</v>
      </c>
      <c r="G176" s="417">
        <f t="shared" ref="G176" si="39">+SUM(G178:G184)</f>
        <v>7</v>
      </c>
      <c r="H176" s="417">
        <f t="shared" si="38"/>
        <v>6</v>
      </c>
      <c r="I176" s="458"/>
    </row>
    <row r="177" spans="1:9" s="158" customFormat="1">
      <c r="A177" s="505"/>
      <c r="B177" s="496" t="s">
        <v>150</v>
      </c>
      <c r="C177" s="497">
        <f t="shared" ref="C177" si="40">IF(C176&lt;1,0,IF(C176&lt;2,1,IF(C176&lt;4,2,IF(C176&lt;6,3,IF(C176&lt;7,4,IF(C176=7,5))))))</f>
        <v>3</v>
      </c>
      <c r="D177" s="514">
        <f t="shared" ref="D177:H177" si="41">IF(D176&lt;1,0,IF(D176&lt;2,1,IF(D176&lt;4,2,IF(D176&lt;6,3,IF(D176&lt;7,4,IF(D176=7,5))))))</f>
        <v>2</v>
      </c>
      <c r="E177" s="497">
        <f t="shared" ref="E177" si="42">IF(E176&lt;1,0,IF(E176&lt;2,1,IF(E176&lt;4,2,IF(E176&lt;6,3,IF(E176&lt;7,4,IF(E176=7,5))))))</f>
        <v>5</v>
      </c>
      <c r="F177" s="514">
        <f t="shared" si="41"/>
        <v>3</v>
      </c>
      <c r="G177" s="497">
        <f t="shared" ref="G177" si="43">IF(G176&lt;1,0,IF(G176&lt;2,1,IF(G176&lt;4,2,IF(G176&lt;6,3,IF(G176&lt;7,4,IF(G176=7,5))))))</f>
        <v>5</v>
      </c>
      <c r="H177" s="514">
        <f t="shared" si="41"/>
        <v>4</v>
      </c>
      <c r="I177" s="506"/>
    </row>
    <row r="178" spans="1:9" s="158" customFormat="1" ht="51" customHeight="1">
      <c r="A178" s="159"/>
      <c r="B178" s="291" t="s">
        <v>52</v>
      </c>
      <c r="C178" s="325">
        <v>1</v>
      </c>
      <c r="D178" s="467">
        <v>0</v>
      </c>
      <c r="E178" s="325">
        <v>1</v>
      </c>
      <c r="F178" s="467">
        <v>0</v>
      </c>
      <c r="G178" s="325">
        <v>1</v>
      </c>
      <c r="H178" s="467">
        <v>0</v>
      </c>
      <c r="I178" s="471" t="s">
        <v>305</v>
      </c>
    </row>
    <row r="179" spans="1:9" s="158" customFormat="1" ht="55.5">
      <c r="A179" s="159"/>
      <c r="B179" s="291" t="s">
        <v>53</v>
      </c>
      <c r="C179" s="325">
        <v>1</v>
      </c>
      <c r="D179" s="467">
        <v>0</v>
      </c>
      <c r="E179" s="325">
        <v>1</v>
      </c>
      <c r="F179" s="465">
        <v>1</v>
      </c>
      <c r="G179" s="325">
        <v>1</v>
      </c>
      <c r="H179" s="465">
        <v>1</v>
      </c>
      <c r="I179" s="472" t="s">
        <v>306</v>
      </c>
    </row>
    <row r="180" spans="1:9" s="158" customFormat="1" ht="60" customHeight="1">
      <c r="A180" s="159"/>
      <c r="B180" s="291" t="s">
        <v>136</v>
      </c>
      <c r="C180" s="325">
        <v>1</v>
      </c>
      <c r="D180" s="465">
        <v>1</v>
      </c>
      <c r="E180" s="325">
        <v>1</v>
      </c>
      <c r="F180" s="465">
        <v>1</v>
      </c>
      <c r="G180" s="325">
        <v>1</v>
      </c>
      <c r="H180" s="465">
        <v>1</v>
      </c>
      <c r="I180" s="471"/>
    </row>
    <row r="181" spans="1:9" s="158" customFormat="1" ht="55.5">
      <c r="A181" s="159"/>
      <c r="B181" s="291" t="s">
        <v>137</v>
      </c>
      <c r="C181" s="325">
        <v>1</v>
      </c>
      <c r="D181" s="467">
        <v>0</v>
      </c>
      <c r="E181" s="325">
        <v>1</v>
      </c>
      <c r="F181" s="465">
        <v>1</v>
      </c>
      <c r="G181" s="325">
        <v>1</v>
      </c>
      <c r="H181" s="465">
        <v>1</v>
      </c>
      <c r="I181" s="471" t="s">
        <v>307</v>
      </c>
    </row>
    <row r="182" spans="1:9" s="158" customFormat="1" ht="55.5" customHeight="1">
      <c r="A182" s="159"/>
      <c r="B182" s="291" t="s">
        <v>135</v>
      </c>
      <c r="C182" s="325">
        <v>0</v>
      </c>
      <c r="D182" s="467">
        <v>0</v>
      </c>
      <c r="E182" s="325">
        <v>1</v>
      </c>
      <c r="F182" s="467">
        <v>0</v>
      </c>
      <c r="G182" s="325">
        <v>1</v>
      </c>
      <c r="H182" s="465">
        <v>1</v>
      </c>
      <c r="I182" s="471" t="s">
        <v>308</v>
      </c>
    </row>
    <row r="183" spans="1:9" s="158" customFormat="1" ht="48">
      <c r="A183" s="159"/>
      <c r="B183" s="291" t="s">
        <v>54</v>
      </c>
      <c r="C183" s="325">
        <v>1</v>
      </c>
      <c r="D183" s="465">
        <v>1</v>
      </c>
      <c r="E183" s="325">
        <v>1</v>
      </c>
      <c r="F183" s="465">
        <v>1</v>
      </c>
      <c r="G183" s="325">
        <v>1</v>
      </c>
      <c r="H183" s="465">
        <v>1</v>
      </c>
      <c r="I183" s="370"/>
    </row>
    <row r="184" spans="1:9" s="158" customFormat="1" ht="48">
      <c r="A184" s="159"/>
      <c r="B184" s="291" t="s">
        <v>55</v>
      </c>
      <c r="C184" s="325">
        <v>0</v>
      </c>
      <c r="D184" s="467">
        <v>0</v>
      </c>
      <c r="E184" s="325">
        <v>1</v>
      </c>
      <c r="F184" s="465">
        <v>1</v>
      </c>
      <c r="G184" s="325">
        <v>1</v>
      </c>
      <c r="H184" s="465">
        <v>1</v>
      </c>
      <c r="I184" s="370"/>
    </row>
    <row r="185" spans="1:9">
      <c r="A185" s="171" t="s">
        <v>62</v>
      </c>
      <c r="B185" s="296"/>
      <c r="C185" s="440">
        <f t="shared" ref="C185:H185" si="44">+C187</f>
        <v>4</v>
      </c>
      <c r="D185" s="440">
        <f t="shared" si="44"/>
        <v>4</v>
      </c>
      <c r="E185" s="440">
        <f t="shared" si="44"/>
        <v>5</v>
      </c>
      <c r="F185" s="475">
        <f t="shared" si="44"/>
        <v>4</v>
      </c>
      <c r="G185" s="440">
        <f t="shared" si="44"/>
        <v>5</v>
      </c>
      <c r="H185" s="475">
        <f t="shared" si="44"/>
        <v>4</v>
      </c>
      <c r="I185" s="457"/>
    </row>
    <row r="186" spans="1:9" s="158" customFormat="1" ht="39" customHeight="1">
      <c r="A186" s="416">
        <v>9.1</v>
      </c>
      <c r="B186" s="299" t="s">
        <v>56</v>
      </c>
      <c r="C186" s="427">
        <f>+SUM(C188:C196)</f>
        <v>8</v>
      </c>
      <c r="D186" s="427">
        <f>+SUM(D188:D196)</f>
        <v>8</v>
      </c>
      <c r="E186" s="417">
        <f t="shared" ref="E186" si="45">+SUM(E188:E196)</f>
        <v>9</v>
      </c>
      <c r="F186" s="417">
        <f t="shared" ref="F186:H186" si="46">+SUM(F188:F196)</f>
        <v>8</v>
      </c>
      <c r="G186" s="417">
        <f t="shared" ref="G186" si="47">+SUM(G188:G196)</f>
        <v>9</v>
      </c>
      <c r="H186" s="417">
        <f t="shared" si="46"/>
        <v>8</v>
      </c>
      <c r="I186" s="458"/>
    </row>
    <row r="187" spans="1:9" s="158" customFormat="1">
      <c r="A187" s="505"/>
      <c r="B187" s="496" t="s">
        <v>150</v>
      </c>
      <c r="C187" s="507">
        <f t="shared" ref="C187" si="48">IF(C186&lt;1,0,IF(C186&lt;2,1,IF(C186&lt;4,2,IF(C186&lt;7,3,IF(C186&lt;9,4,IF(C186=9,5))))))</f>
        <v>4</v>
      </c>
      <c r="D187" s="507">
        <f t="shared" ref="D187:H187" si="49">IF(D186&lt;1,0,IF(D186&lt;2,1,IF(D186&lt;4,2,IF(D186&lt;7,3,IF(D186&lt;9,4,IF(D186=9,5))))))</f>
        <v>4</v>
      </c>
      <c r="E187" s="507">
        <f t="shared" ref="E187" si="50">IF(E186&lt;1,0,IF(E186&lt;2,1,IF(E186&lt;4,2,IF(E186&lt;7,3,IF(E186&lt;9,4,IF(E186=9,5))))))</f>
        <v>5</v>
      </c>
      <c r="F187" s="515">
        <f t="shared" si="49"/>
        <v>4</v>
      </c>
      <c r="G187" s="507">
        <f t="shared" ref="G187" si="51">IF(G186&lt;1,0,IF(G186&lt;2,1,IF(G186&lt;4,2,IF(G186&lt;7,3,IF(G186&lt;9,4,IF(G186=9,5))))))</f>
        <v>5</v>
      </c>
      <c r="H187" s="515">
        <f t="shared" si="49"/>
        <v>4</v>
      </c>
      <c r="I187" s="506"/>
    </row>
    <row r="188" spans="1:9" s="158" customFormat="1" ht="72">
      <c r="A188" s="159"/>
      <c r="B188" s="297" t="s">
        <v>118</v>
      </c>
      <c r="C188" s="375">
        <v>1</v>
      </c>
      <c r="D188" s="468">
        <v>1</v>
      </c>
      <c r="E188" s="375">
        <v>1</v>
      </c>
      <c r="F188" s="468">
        <v>1</v>
      </c>
      <c r="G188" s="375">
        <v>1</v>
      </c>
      <c r="H188" s="468">
        <v>1</v>
      </c>
      <c r="I188" s="463"/>
    </row>
    <row r="189" spans="1:9" s="158" customFormat="1" ht="48">
      <c r="A189" s="159"/>
      <c r="B189" s="297" t="s">
        <v>274</v>
      </c>
      <c r="C189" s="325">
        <v>1</v>
      </c>
      <c r="D189" s="465">
        <v>1</v>
      </c>
      <c r="E189" s="325">
        <v>1</v>
      </c>
      <c r="F189" s="465">
        <v>1</v>
      </c>
      <c r="G189" s="325">
        <v>1</v>
      </c>
      <c r="H189" s="465">
        <v>1</v>
      </c>
      <c r="I189" s="370"/>
    </row>
    <row r="190" spans="1:9" s="158" customFormat="1" ht="30" customHeight="1">
      <c r="A190" s="159"/>
      <c r="B190" s="297" t="s">
        <v>275</v>
      </c>
      <c r="C190" s="325">
        <v>1</v>
      </c>
      <c r="D190" s="465">
        <v>1</v>
      </c>
      <c r="E190" s="325">
        <v>1</v>
      </c>
      <c r="F190" s="465">
        <v>1</v>
      </c>
      <c r="G190" s="325">
        <v>1</v>
      </c>
      <c r="H190" s="465">
        <v>1</v>
      </c>
      <c r="I190" s="370"/>
    </row>
    <row r="191" spans="1:9" s="158" customFormat="1" ht="168.75" customHeight="1">
      <c r="A191" s="159"/>
      <c r="B191" s="297" t="s">
        <v>57</v>
      </c>
      <c r="C191" s="289">
        <v>1</v>
      </c>
      <c r="D191" s="469">
        <v>1</v>
      </c>
      <c r="E191" s="289">
        <v>1</v>
      </c>
      <c r="F191" s="469">
        <v>1</v>
      </c>
      <c r="G191" s="289">
        <v>1</v>
      </c>
      <c r="H191" s="469">
        <v>1</v>
      </c>
      <c r="I191" s="370"/>
    </row>
    <row r="192" spans="1:9" s="158" customFormat="1" ht="72">
      <c r="A192" s="159"/>
      <c r="B192" s="297" t="s">
        <v>58</v>
      </c>
      <c r="C192" s="289">
        <v>1</v>
      </c>
      <c r="D192" s="469">
        <v>1</v>
      </c>
      <c r="E192" s="289">
        <v>1</v>
      </c>
      <c r="F192" s="469">
        <v>1</v>
      </c>
      <c r="G192" s="289">
        <v>1</v>
      </c>
      <c r="H192" s="469">
        <v>1</v>
      </c>
      <c r="I192" s="370"/>
    </row>
    <row r="193" spans="1:10" s="158" customFormat="1" ht="48">
      <c r="A193" s="159"/>
      <c r="B193" s="297" t="s">
        <v>59</v>
      </c>
      <c r="C193" s="289">
        <v>1</v>
      </c>
      <c r="D193" s="469">
        <v>1</v>
      </c>
      <c r="E193" s="289">
        <v>1</v>
      </c>
      <c r="F193" s="469">
        <v>1</v>
      </c>
      <c r="G193" s="289">
        <v>1</v>
      </c>
      <c r="H193" s="469">
        <v>1</v>
      </c>
      <c r="I193" s="370"/>
    </row>
    <row r="194" spans="1:10" ht="48">
      <c r="A194" s="160"/>
      <c r="B194" s="297" t="s">
        <v>276</v>
      </c>
      <c r="C194" s="289">
        <v>1</v>
      </c>
      <c r="D194" s="469">
        <v>1</v>
      </c>
      <c r="E194" s="289">
        <v>1</v>
      </c>
      <c r="F194" s="469">
        <v>1</v>
      </c>
      <c r="G194" s="289">
        <v>1</v>
      </c>
      <c r="H194" s="469">
        <v>1</v>
      </c>
      <c r="I194" s="370"/>
    </row>
    <row r="195" spans="1:10" ht="48">
      <c r="A195" s="160"/>
      <c r="B195" s="297" t="s">
        <v>60</v>
      </c>
      <c r="C195" s="289">
        <v>1</v>
      </c>
      <c r="D195" s="469">
        <v>1</v>
      </c>
      <c r="E195" s="289">
        <v>1</v>
      </c>
      <c r="F195" s="469">
        <v>1</v>
      </c>
      <c r="G195" s="289">
        <v>1</v>
      </c>
      <c r="H195" s="469">
        <v>1</v>
      </c>
      <c r="I195" s="370"/>
    </row>
    <row r="196" spans="1:10" ht="48">
      <c r="A196" s="162"/>
      <c r="B196" s="300" t="s">
        <v>61</v>
      </c>
      <c r="C196" s="290">
        <v>0</v>
      </c>
      <c r="D196" s="470">
        <v>0</v>
      </c>
      <c r="E196" s="290">
        <v>1</v>
      </c>
      <c r="F196" s="470">
        <v>0</v>
      </c>
      <c r="G196" s="290">
        <v>1</v>
      </c>
      <c r="H196" s="470">
        <v>0</v>
      </c>
      <c r="I196" s="371"/>
    </row>
    <row r="197" spans="1:10" ht="42">
      <c r="A197" s="491"/>
      <c r="B197" s="492" t="s">
        <v>287</v>
      </c>
      <c r="C197" s="441">
        <f>+SUM(C7,C18,C20,C24,C79,C88,C95,C102,C123,C126,C135,C137,C177,C187)/14</f>
        <v>4.5649999999999995</v>
      </c>
      <c r="D197" s="493">
        <f>+SUM(D7,D18,D20,D24,D79,D88,D95,D102,D123,D126,D135,D137,D177,D187)/เป้าหมาย!C49</f>
        <v>4.2792857142857139</v>
      </c>
      <c r="E197" s="441">
        <f>+SUM(E7,E29,E33,E35,E39,E49,E79,E88,E95,E102,E123,E126,E177,E187)/14</f>
        <v>4.8264285714285711</v>
      </c>
      <c r="F197" s="493">
        <f>+SUM(F7,F29,F33,F35,F39,F49,F79,F88,F95,F102,F123,F126,F177,F187)/เป้าหมาย!D49</f>
        <v>4.2792857142857139</v>
      </c>
      <c r="G197" s="441">
        <f>+SUM(G7,G52,G62,G69,G71,G79,G88,G95,G102,G123,G126,G145,G147,G149,G156,G158,G165,G167,G174,G177,G187)/21</f>
        <v>4.6790476190476182</v>
      </c>
      <c r="H197" s="493">
        <f>+SUM(H7,H52,H62,H69,H71,H79,H88,H95,H102,H123,H126,H145,H147,H149,H156,H158,H165,H167,H174,H177,H187)/เป้าหมาย!E49</f>
        <v>4.5361904761904759</v>
      </c>
      <c r="I197" s="494"/>
      <c r="J197" s="308"/>
    </row>
    <row r="198" spans="1:10" hidden="1">
      <c r="B198" s="163" t="s">
        <v>297</v>
      </c>
    </row>
    <row r="199" spans="1:10" hidden="1">
      <c r="B199" s="163" t="s">
        <v>298</v>
      </c>
    </row>
    <row r="200" spans="1:10" hidden="1">
      <c r="B200" s="163" t="s">
        <v>300</v>
      </c>
    </row>
    <row r="201" spans="1:10" hidden="1">
      <c r="B201" s="163" t="s">
        <v>299</v>
      </c>
    </row>
    <row r="202" spans="1:10" hidden="1"/>
  </sheetData>
  <mergeCells count="8">
    <mergeCell ref="C104:C110"/>
    <mergeCell ref="E104:E110"/>
    <mergeCell ref="G104:G110"/>
    <mergeCell ref="A3:B4"/>
    <mergeCell ref="I3:I4"/>
    <mergeCell ref="C3:D3"/>
    <mergeCell ref="E3:F3"/>
    <mergeCell ref="G3:H3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54" orientation="portrait" r:id="rId1"/>
  <headerFooter alignWithMargins="0">
    <oddHeader>&amp;Cแบบการรายงานผลการประเมินฯ กลุ่มสำนัก ปีการศึกษา 2556&amp;R&amp;P</oddHeader>
    <oddFooter>&amp;Rข้อมูล ณ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74"/>
  <sheetViews>
    <sheetView zoomScale="90" zoomScaleNormal="9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B19" sqref="B19"/>
    </sheetView>
  </sheetViews>
  <sheetFormatPr defaultRowHeight="27.75"/>
  <cols>
    <col min="1" max="1" width="2.875" style="86" customWidth="1"/>
    <col min="2" max="2" width="36.125" style="95" customWidth="1"/>
    <col min="3" max="3" width="10.625" style="85" customWidth="1"/>
    <col min="4" max="4" width="9.25" style="85" customWidth="1"/>
    <col min="5" max="5" width="11.25" style="221" customWidth="1"/>
    <col min="6" max="6" width="9.25" style="91" customWidth="1"/>
    <col min="7" max="7" width="9.875" style="221" customWidth="1"/>
    <col min="8" max="8" width="26.5" style="221" customWidth="1"/>
    <col min="9" max="16384" width="9" style="82"/>
  </cols>
  <sheetData>
    <row r="1" spans="1:8" ht="29.25" customHeight="1">
      <c r="A1" s="80"/>
      <c r="B1" s="264" t="s">
        <v>166</v>
      </c>
      <c r="C1" s="81"/>
      <c r="D1" s="81"/>
      <c r="E1" s="81"/>
      <c r="F1" s="213"/>
      <c r="G1" s="213"/>
      <c r="H1" s="213"/>
    </row>
    <row r="2" spans="1:8" hidden="1">
      <c r="A2" s="83"/>
      <c r="B2" s="84" t="s">
        <v>96</v>
      </c>
      <c r="C2" s="85">
        <f>ข้อมูลฐาน!B2</f>
        <v>0</v>
      </c>
      <c r="D2" s="217"/>
      <c r="E2" s="217"/>
      <c r="F2" s="217"/>
      <c r="G2" s="217"/>
      <c r="H2" s="309"/>
    </row>
    <row r="3" spans="1:8" hidden="1">
      <c r="A3" s="84"/>
      <c r="B3" s="86" t="s">
        <v>154</v>
      </c>
      <c r="C3" s="86" t="s">
        <v>155</v>
      </c>
      <c r="D3" s="217"/>
      <c r="E3" s="217"/>
      <c r="F3" s="217"/>
      <c r="G3" s="217"/>
      <c r="H3" s="309"/>
    </row>
    <row r="4" spans="1:8" hidden="1">
      <c r="A4" s="217"/>
      <c r="B4" s="86" t="s">
        <v>156</v>
      </c>
      <c r="C4" s="86" t="s">
        <v>157</v>
      </c>
      <c r="D4" s="217"/>
      <c r="E4" s="217"/>
      <c r="F4" s="217"/>
      <c r="G4" s="217"/>
      <c r="H4" s="309"/>
    </row>
    <row r="5" spans="1:8" hidden="1">
      <c r="A5" s="217"/>
      <c r="B5" s="82"/>
      <c r="C5" s="86" t="s">
        <v>158</v>
      </c>
      <c r="D5" s="217"/>
      <c r="E5" s="217"/>
      <c r="F5" s="217"/>
      <c r="G5" s="217"/>
      <c r="H5" s="309"/>
    </row>
    <row r="6" spans="1:8" hidden="1">
      <c r="A6" s="217"/>
      <c r="B6" s="86" t="s">
        <v>159</v>
      </c>
      <c r="C6" s="217"/>
      <c r="D6" s="217"/>
      <c r="E6" s="217"/>
      <c r="F6" s="217"/>
      <c r="G6" s="217"/>
      <c r="H6" s="309"/>
    </row>
    <row r="7" spans="1:8" hidden="1">
      <c r="A7" s="564"/>
      <c r="B7" s="564"/>
      <c r="C7" s="564"/>
      <c r="D7" s="564"/>
      <c r="E7" s="564"/>
      <c r="F7" s="564"/>
      <c r="G7" s="217"/>
      <c r="H7" s="309"/>
    </row>
    <row r="8" spans="1:8" ht="21.75" customHeight="1">
      <c r="A8" s="576"/>
      <c r="B8" s="565" t="s">
        <v>111</v>
      </c>
      <c r="C8" s="570" t="s">
        <v>70</v>
      </c>
      <c r="D8" s="573">
        <f>ข้อมูลฐาน!D3</f>
        <v>0</v>
      </c>
      <c r="E8" s="574"/>
      <c r="F8" s="575"/>
      <c r="G8" s="551" t="s">
        <v>21</v>
      </c>
      <c r="H8" s="548" t="s">
        <v>183</v>
      </c>
    </row>
    <row r="9" spans="1:8" ht="23.25" customHeight="1">
      <c r="A9" s="577"/>
      <c r="B9" s="566"/>
      <c r="C9" s="571"/>
      <c r="D9" s="580">
        <f>C2</f>
        <v>0</v>
      </c>
      <c r="E9" s="581"/>
      <c r="F9" s="582"/>
      <c r="G9" s="552"/>
      <c r="H9" s="549"/>
    </row>
    <row r="10" spans="1:8" ht="17.25" customHeight="1">
      <c r="A10" s="577"/>
      <c r="B10" s="566"/>
      <c r="C10" s="571"/>
      <c r="D10" s="285" t="s">
        <v>103</v>
      </c>
      <c r="E10" s="285" t="s">
        <v>105</v>
      </c>
      <c r="F10" s="568" t="s">
        <v>150</v>
      </c>
      <c r="G10" s="552"/>
      <c r="H10" s="549"/>
    </row>
    <row r="11" spans="1:8" s="87" customFormat="1" ht="16.5" customHeight="1">
      <c r="A11" s="578"/>
      <c r="B11" s="567"/>
      <c r="C11" s="572"/>
      <c r="D11" s="286" t="s">
        <v>104</v>
      </c>
      <c r="E11" s="287" t="s">
        <v>106</v>
      </c>
      <c r="F11" s="569"/>
      <c r="G11" s="553"/>
      <c r="H11" s="550"/>
    </row>
    <row r="12" spans="1:8" s="88" customFormat="1">
      <c r="A12" s="305" t="str">
        <f>+ข้อมูลฐาน!A5</f>
        <v>องค์ประกอบที่  1  ปรัชญา ปณิธาน วัตถุประสงค์ และแผนดำเนินการ</v>
      </c>
      <c r="B12" s="306"/>
      <c r="C12" s="145"/>
      <c r="D12" s="145"/>
      <c r="E12" s="219"/>
      <c r="F12" s="219"/>
      <c r="G12" s="219"/>
      <c r="H12" s="219"/>
    </row>
    <row r="13" spans="1:8" s="85" customFormat="1" ht="33">
      <c r="A13" s="579" t="s">
        <v>93</v>
      </c>
      <c r="B13" s="579"/>
      <c r="C13" s="265"/>
      <c r="D13" s="266"/>
      <c r="E13" s="267"/>
      <c r="F13" s="268" t="e">
        <f>F16/เป้าหมาย!#REF!</f>
        <v>#REF!</v>
      </c>
      <c r="G13" s="149"/>
      <c r="H13" s="149"/>
    </row>
    <row r="14" spans="1:8" s="85" customFormat="1" ht="33">
      <c r="A14" s="534" t="s">
        <v>197</v>
      </c>
      <c r="B14" s="535"/>
      <c r="C14" s="265"/>
      <c r="D14" s="266"/>
      <c r="E14" s="267"/>
      <c r="F14" s="268">
        <f>+SUM(F19,F21,F24)/3</f>
        <v>4.666666666666667</v>
      </c>
      <c r="G14" s="149"/>
      <c r="H14" s="149"/>
    </row>
    <row r="15" spans="1:8" s="85" customFormat="1" ht="33">
      <c r="A15" s="534" t="s">
        <v>198</v>
      </c>
      <c r="B15" s="535"/>
      <c r="C15" s="265"/>
      <c r="D15" s="266"/>
      <c r="E15" s="267"/>
      <c r="F15" s="268">
        <f>+SUM(F16,F19,F21,F24)/4</f>
        <v>4.5</v>
      </c>
      <c r="G15" s="149"/>
      <c r="H15" s="149"/>
    </row>
    <row r="16" spans="1:8" ht="26.25" customHeight="1">
      <c r="A16" s="154"/>
      <c r="B16" s="214" t="s">
        <v>72</v>
      </c>
      <c r="C16" s="269">
        <f>เป้าหมาย!C6</f>
        <v>0</v>
      </c>
      <c r="D16" s="546">
        <f>+ข้อมูลฐาน!D6</f>
        <v>7</v>
      </c>
      <c r="E16" s="546"/>
      <c r="F16" s="269">
        <f>IF(D16&lt;1,0,IF(D16&lt;2,1,IF(D16&lt;4,2,IF(D16&lt;6,3,IF(D16&lt;8,4,IF(D16=8,5))))))</f>
        <v>4</v>
      </c>
      <c r="G16" s="212" t="str">
        <f>IF(D16&gt;=C16,"/",IF(D16&lt;C16,"X"))</f>
        <v>/</v>
      </c>
      <c r="H16" s="212"/>
    </row>
    <row r="17" spans="1:8" ht="26.25" customHeight="1">
      <c r="A17" s="153"/>
      <c r="B17" s="151"/>
      <c r="C17" s="270"/>
      <c r="D17" s="540" t="s">
        <v>203</v>
      </c>
      <c r="E17" s="541"/>
      <c r="F17" s="270"/>
      <c r="G17" s="155"/>
      <c r="H17" s="155"/>
    </row>
    <row r="18" spans="1:8" ht="33">
      <c r="A18" s="216"/>
      <c r="B18" s="152" t="str">
        <f>+เป้าหมาย!A7</f>
        <v>ตัวบ่งชี้ที่ 1.2 ตัวบ่งชี้อัตลักษณ์ (สนอ.)</v>
      </c>
      <c r="C18" s="271"/>
      <c r="D18" s="272"/>
      <c r="E18" s="273"/>
      <c r="F18" s="271"/>
      <c r="G18" s="89"/>
      <c r="H18" s="89"/>
    </row>
    <row r="19" spans="1:8" ht="72">
      <c r="A19" s="239"/>
      <c r="B19" s="311" t="str">
        <f>+เป้าหมาย!A8</f>
        <v>ตัวบ่งชี้ที่ 1.2.1  ระดับความพึงพอใจของผู้รับบริการต่อการให้บริการของสำนักงานอธิการบดี</v>
      </c>
      <c r="C19" s="336"/>
      <c r="D19" s="554">
        <f>ข้อมูลฐาน!D17</f>
        <v>3.9180000000000001</v>
      </c>
      <c r="E19" s="555"/>
      <c r="F19" s="314">
        <f>IF(D19&lt;1.51,1,IF(D19&lt;2.51,2,IF(D19&lt;3.51,3,IF(D19&lt;4.51,4,IF(D19&gt;=4.51,5,)))))</f>
        <v>4</v>
      </c>
      <c r="G19" s="211" t="str">
        <f>IF(D19&gt;=C19,"/",IF(#REF!&lt;C19,"X"))</f>
        <v>/</v>
      </c>
      <c r="H19" s="212"/>
    </row>
    <row r="20" spans="1:8" ht="48.75" customHeight="1">
      <c r="A20" s="239"/>
      <c r="B20" s="304" t="str">
        <f>+เป้าหมาย!A9</f>
        <v>ตัวบ่งชี้ที่ 1.2.2 ร้อยละเฉลี่ยของบุคลากรที่เข้าร่วมกิจกรรมสาธารณประโยชน์ที่สำนักงานอธิการบดีจัดขึ้น</v>
      </c>
      <c r="C20" s="336"/>
      <c r="D20" s="301"/>
      <c r="E20" s="307"/>
      <c r="F20" s="274"/>
      <c r="G20" s="212"/>
      <c r="H20" s="212"/>
    </row>
    <row r="21" spans="1:8" ht="27" customHeight="1">
      <c r="A21" s="240" t="s">
        <v>182</v>
      </c>
      <c r="B21" s="332" t="str">
        <f>+ข้อมูลฐาน!B21</f>
        <v>บุคลากรที่เข้าร่วมกิจกรรมสาธารณประโยชน์</v>
      </c>
      <c r="C21" s="282">
        <f>+เป้าหมาย!C9</f>
        <v>0</v>
      </c>
      <c r="D21" s="276">
        <f>+ข้อมูลฐาน!D21</f>
        <v>225</v>
      </c>
      <c r="E21" s="302">
        <f>+D21*100/D22</f>
        <v>82.116788321167888</v>
      </c>
      <c r="F21" s="356">
        <f>+IF(E21&lt;80,E21*5/80,IF(E21&gt;=80,5))</f>
        <v>5</v>
      </c>
      <c r="G21" s="211" t="str">
        <f>IF(E21&gt;=C21,"/",IF(D21&lt;C21,"X"))</f>
        <v>/</v>
      </c>
      <c r="H21" s="211"/>
    </row>
    <row r="22" spans="1:8" ht="27" customHeight="1">
      <c r="A22" s="241" t="s">
        <v>182</v>
      </c>
      <c r="B22" s="333" t="str">
        <f>+ข้อมูลฐาน!B22</f>
        <v>บุคลากรทั้งหมด</v>
      </c>
      <c r="C22" s="270"/>
      <c r="D22" s="303">
        <f>+ข้อมูลฐาน!D22</f>
        <v>274</v>
      </c>
      <c r="E22" s="283"/>
      <c r="F22" s="315"/>
      <c r="G22" s="353"/>
      <c r="H22" s="211"/>
    </row>
    <row r="23" spans="1:8" ht="72">
      <c r="A23" s="239"/>
      <c r="B23" s="311" t="str">
        <f>+เป้าหมาย!A10</f>
        <v>ตัวบ่งชี้ที่ 1.2.3 จำนวนหน่วยงานของสำนักงานอธิการบดีที่ได้มีการแลกเปลี่ยนเรียนรู้ร่วมกับหน่วยงานอื่น</v>
      </c>
      <c r="C23" s="336"/>
      <c r="D23" s="301"/>
      <c r="E23" s="307"/>
      <c r="F23" s="274"/>
      <c r="G23" s="212"/>
      <c r="H23" s="212"/>
    </row>
    <row r="24" spans="1:8" ht="39.75">
      <c r="A24" s="240" t="s">
        <v>182</v>
      </c>
      <c r="B24" s="355" t="str">
        <f>+ข้อมูลฐาน!B25</f>
        <v>จำนวนหน่วยงานใน สนอ.ที่เข้าร่วมแลกเปลี่ยนเรียนรู้ฯ</v>
      </c>
      <c r="C24" s="282">
        <f>+เป้าหมาย!C10</f>
        <v>0</v>
      </c>
      <c r="D24" s="276">
        <f>+ข้อมูลฐาน!D25</f>
        <v>13</v>
      </c>
      <c r="E24" s="302">
        <f>+D24*100/D25</f>
        <v>86.666666666666671</v>
      </c>
      <c r="F24" s="356">
        <f>+IF(E24&lt;80,E24*5/80,IF(E24&gt;=80,5))</f>
        <v>5</v>
      </c>
      <c r="G24" s="211" t="str">
        <f>IF(E24&gt;=C24,"/",IF(D24&lt;C24,"X"))</f>
        <v>/</v>
      </c>
      <c r="H24" s="211"/>
    </row>
    <row r="25" spans="1:8" ht="39.75">
      <c r="A25" s="241" t="s">
        <v>182</v>
      </c>
      <c r="B25" s="355" t="str">
        <f>+ข้อมูลฐาน!B26</f>
        <v>จำนวนหน่วยงานทั้งหมด</v>
      </c>
      <c r="C25" s="270"/>
      <c r="D25" s="303">
        <f>+ข้อมูลฐาน!D26</f>
        <v>15</v>
      </c>
      <c r="E25" s="315"/>
      <c r="F25" s="315"/>
      <c r="G25" s="353"/>
      <c r="H25" s="211"/>
    </row>
    <row r="26" spans="1:8" ht="39.75" hidden="1">
      <c r="A26" s="154"/>
      <c r="B26" s="313"/>
      <c r="C26" s="336"/>
      <c r="D26" s="301"/>
      <c r="E26" s="307"/>
      <c r="F26" s="274"/>
      <c r="G26" s="212"/>
      <c r="H26" s="212"/>
    </row>
    <row r="27" spans="1:8" ht="31.5" hidden="1" customHeight="1">
      <c r="A27" s="220"/>
      <c r="B27" s="334"/>
      <c r="C27" s="282"/>
      <c r="D27" s="337"/>
      <c r="E27" s="338"/>
      <c r="F27" s="314"/>
      <c r="G27" s="211"/>
      <c r="H27" s="211"/>
    </row>
    <row r="28" spans="1:8" ht="27.75" hidden="1" customHeight="1">
      <c r="A28" s="153"/>
      <c r="B28" s="335"/>
      <c r="C28" s="270"/>
      <c r="D28" s="303"/>
      <c r="E28" s="315"/>
      <c r="F28" s="314"/>
      <c r="G28" s="211"/>
      <c r="H28" s="155"/>
    </row>
    <row r="29" spans="1:8" ht="39.75" hidden="1">
      <c r="A29" s="154"/>
      <c r="B29" s="313"/>
      <c r="C29" s="336"/>
      <c r="D29" s="301"/>
      <c r="E29" s="307"/>
      <c r="F29" s="274"/>
      <c r="G29" s="212"/>
      <c r="H29" s="212"/>
    </row>
    <row r="30" spans="1:8" ht="39.75" hidden="1">
      <c r="A30" s="220"/>
      <c r="B30" s="334"/>
      <c r="C30" s="282"/>
      <c r="D30" s="277"/>
      <c r="E30" s="302"/>
      <c r="F30" s="314"/>
      <c r="G30" s="211"/>
      <c r="H30" s="211"/>
    </row>
    <row r="31" spans="1:8" ht="7.5" hidden="1" customHeight="1">
      <c r="A31" s="153"/>
      <c r="B31" s="335"/>
      <c r="C31" s="270"/>
      <c r="D31" s="303"/>
      <c r="E31" s="315"/>
      <c r="F31" s="314"/>
      <c r="G31" s="211"/>
      <c r="H31" s="155"/>
    </row>
    <row r="32" spans="1:8" ht="39.75" hidden="1">
      <c r="A32" s="154"/>
      <c r="B32" s="313"/>
      <c r="C32" s="336"/>
      <c r="D32" s="301"/>
      <c r="E32" s="307"/>
      <c r="F32" s="274"/>
      <c r="G32" s="212"/>
      <c r="H32" s="212"/>
    </row>
    <row r="33" spans="1:8" ht="31.5" hidden="1" customHeight="1">
      <c r="A33" s="220"/>
      <c r="B33" s="334"/>
      <c r="C33" s="282"/>
      <c r="D33" s="276"/>
      <c r="E33" s="302"/>
      <c r="F33" s="314"/>
      <c r="G33" s="211"/>
      <c r="H33" s="211"/>
    </row>
    <row r="34" spans="1:8" ht="27.75" hidden="1" customHeight="1">
      <c r="A34" s="153"/>
      <c r="B34" s="334"/>
      <c r="C34" s="270"/>
      <c r="D34" s="303"/>
      <c r="E34" s="315"/>
      <c r="F34" s="314"/>
      <c r="G34" s="211"/>
      <c r="H34" s="155"/>
    </row>
    <row r="35" spans="1:8" ht="27.75" customHeight="1">
      <c r="A35" s="305" t="str">
        <f>+เป้าหมาย!A22</f>
        <v>องค์ประกอบที่ 7  การบริหารและการจัดการ</v>
      </c>
      <c r="B35" s="306"/>
      <c r="C35" s="145"/>
      <c r="D35" s="145"/>
      <c r="E35" s="219"/>
      <c r="F35" s="219"/>
      <c r="G35" s="219"/>
      <c r="H35" s="219"/>
    </row>
    <row r="36" spans="1:8" ht="27.75" customHeight="1">
      <c r="A36" s="533" t="s">
        <v>93</v>
      </c>
      <c r="B36" s="533"/>
      <c r="C36" s="359"/>
      <c r="D36" s="360"/>
      <c r="E36" s="361"/>
      <c r="F36" s="362">
        <f>+SUM(F42,F40,F44,F46)/4</f>
        <v>4.5</v>
      </c>
      <c r="G36" s="149"/>
      <c r="H36" s="265"/>
    </row>
    <row r="37" spans="1:8" ht="27.75" customHeight="1">
      <c r="A37" s="533" t="s">
        <v>94</v>
      </c>
      <c r="B37" s="533"/>
      <c r="C37" s="359"/>
      <c r="D37" s="360"/>
      <c r="E37" s="361"/>
      <c r="F37" s="362">
        <f>+F50</f>
        <v>3.91</v>
      </c>
      <c r="G37" s="149"/>
      <c r="H37" s="265"/>
    </row>
    <row r="38" spans="1:8" ht="27.75" customHeight="1">
      <c r="A38" s="534" t="s">
        <v>197</v>
      </c>
      <c r="B38" s="535"/>
      <c r="C38" s="359"/>
      <c r="D38" s="360"/>
      <c r="E38" s="361"/>
      <c r="F38" s="362">
        <f>SUM(F51:F57)/3</f>
        <v>4.666666666666667</v>
      </c>
      <c r="G38" s="149"/>
      <c r="H38" s="265"/>
    </row>
    <row r="39" spans="1:8" s="85" customFormat="1" ht="33" customHeight="1">
      <c r="A39" s="534" t="s">
        <v>198</v>
      </c>
      <c r="B39" s="535"/>
      <c r="C39" s="363"/>
      <c r="D39" s="364"/>
      <c r="E39" s="365"/>
      <c r="F39" s="366">
        <f>+SUM(F40:F57)/8</f>
        <v>4.4887499999999996</v>
      </c>
      <c r="G39" s="358"/>
      <c r="H39" s="357"/>
    </row>
    <row r="40" spans="1:8" ht="39.75">
      <c r="A40" s="154"/>
      <c r="B40" s="536" t="s">
        <v>73</v>
      </c>
      <c r="C40" s="269">
        <f>เป้าหมาย!C23</f>
        <v>0</v>
      </c>
      <c r="D40" s="546">
        <f>ข้อมูลฐาน!D78</f>
        <v>5</v>
      </c>
      <c r="E40" s="546"/>
      <c r="F40" s="284">
        <f>IF(D40&lt;1,0,IF(D40&lt;2,1,IF(D40&lt;4,2,IF(D40&lt;6,3,IF(D40=6,4,IF(D40=7,5,))))))</f>
        <v>3</v>
      </c>
      <c r="G40" s="212" t="str">
        <f>IF(D40&gt;=C40,"/",IF(D40&lt;C40,"X"))</f>
        <v>/</v>
      </c>
      <c r="H40" s="212"/>
    </row>
    <row r="41" spans="1:8" s="83" customFormat="1" ht="33" customHeight="1">
      <c r="A41" s="220"/>
      <c r="B41" s="537"/>
      <c r="C41" s="275"/>
      <c r="D41" s="540" t="s">
        <v>200</v>
      </c>
      <c r="E41" s="541"/>
      <c r="F41" s="314"/>
      <c r="G41" s="215"/>
      <c r="H41" s="215"/>
    </row>
    <row r="42" spans="1:8" ht="39.75">
      <c r="A42" s="154"/>
      <c r="B42" s="536" t="s">
        <v>65</v>
      </c>
      <c r="C42" s="269">
        <f>เป้าหมาย!C24</f>
        <v>0</v>
      </c>
      <c r="D42" s="546">
        <f>ข้อมูลฐาน!D87</f>
        <v>5</v>
      </c>
      <c r="E42" s="546"/>
      <c r="F42" s="284">
        <f>IF(D42&lt;1,0,IF(D42&lt;2,1,IF(D42&lt;3,2,IF(D42&lt;4,3,IF(D42&lt;5,4,IF(D42=5,5))))))</f>
        <v>5</v>
      </c>
      <c r="G42" s="212" t="str">
        <f>IF(D42&gt;=C42,"/",IF(D42&lt;C42,"X"))</f>
        <v>/</v>
      </c>
      <c r="H42" s="212"/>
    </row>
    <row r="43" spans="1:8" s="83" customFormat="1" ht="33">
      <c r="A43" s="153"/>
      <c r="B43" s="537"/>
      <c r="C43" s="270"/>
      <c r="D43" s="588"/>
      <c r="E43" s="589"/>
      <c r="F43" s="315"/>
      <c r="G43" s="155"/>
      <c r="H43" s="155"/>
    </row>
    <row r="44" spans="1:8" ht="39.75">
      <c r="A44" s="154"/>
      <c r="B44" s="536" t="s">
        <v>66</v>
      </c>
      <c r="C44" s="269">
        <f>เป้าหมาย!C25</f>
        <v>0</v>
      </c>
      <c r="D44" s="546">
        <f>ข้อมูลฐาน!D94</f>
        <v>5</v>
      </c>
      <c r="E44" s="546"/>
      <c r="F44" s="284">
        <f>IF(D44&lt;1,0,IF(D44&lt;2,1,IF(D44&lt;3,2,IF(D44&lt;4,3,IF(D44=4,4,IF(D44=5,5,))))))</f>
        <v>5</v>
      </c>
      <c r="G44" s="212" t="str">
        <f>IF(D44&gt;=C44,"/",IF(D44&lt;C44,"X"))</f>
        <v>/</v>
      </c>
      <c r="H44" s="212"/>
    </row>
    <row r="45" spans="1:8" s="83" customFormat="1" ht="33">
      <c r="A45" s="153"/>
      <c r="B45" s="537"/>
      <c r="C45" s="270"/>
      <c r="D45" s="540" t="s">
        <v>201</v>
      </c>
      <c r="E45" s="541"/>
      <c r="F45" s="315"/>
      <c r="G45" s="155"/>
      <c r="H45" s="155"/>
    </row>
    <row r="46" spans="1:8" ht="33.75" customHeight="1">
      <c r="A46" s="154"/>
      <c r="B46" s="214" t="s">
        <v>67</v>
      </c>
      <c r="C46" s="269">
        <f>เป้าหมาย!C26</f>
        <v>0</v>
      </c>
      <c r="D46" s="546">
        <f>ข้อมูลฐาน!D101</f>
        <v>6</v>
      </c>
      <c r="E46" s="546"/>
      <c r="F46" s="284">
        <f>IF(D46&lt;1,0,IF(D46&lt;2,1,IF(D46&lt;3,2,IF(D46&lt;5,3,IF(D46=5,4,IF(D46&gt;=6,5,))))))</f>
        <v>5</v>
      </c>
      <c r="G46" s="212" t="str">
        <f>IF(D46&gt;=C46,"/",IF(D46&lt;C46,"X"))</f>
        <v>/</v>
      </c>
      <c r="H46" s="212"/>
    </row>
    <row r="47" spans="1:8" s="83" customFormat="1" ht="24.75" customHeight="1">
      <c r="A47" s="153"/>
      <c r="B47" s="151"/>
      <c r="C47" s="270"/>
      <c r="D47" s="540"/>
      <c r="E47" s="541"/>
      <c r="F47" s="270"/>
      <c r="G47" s="155"/>
      <c r="H47" s="155"/>
    </row>
    <row r="48" spans="1:8" ht="33">
      <c r="A48" s="216"/>
      <c r="B48" s="152" t="s">
        <v>152</v>
      </c>
      <c r="C48" s="271"/>
      <c r="D48" s="272"/>
      <c r="E48" s="273"/>
      <c r="F48" s="271"/>
      <c r="G48" s="89"/>
      <c r="H48" s="89"/>
    </row>
    <row r="49" spans="1:8" ht="165" hidden="1" customHeight="1">
      <c r="A49" s="216"/>
      <c r="B49" s="150" t="s">
        <v>74</v>
      </c>
      <c r="C49" s="271"/>
      <c r="D49" s="584" t="str">
        <f>ข้อมูลฐาน!D116</f>
        <v>ไม่ประเมินระดับคณะ</v>
      </c>
      <c r="E49" s="585"/>
      <c r="F49" s="281">
        <v>0</v>
      </c>
      <c r="G49" s="89"/>
      <c r="H49" s="89"/>
    </row>
    <row r="50" spans="1:8" ht="48">
      <c r="A50" s="216"/>
      <c r="B50" s="150" t="s">
        <v>75</v>
      </c>
      <c r="C50" s="271">
        <f>เป้าหมาย!C27</f>
        <v>0</v>
      </c>
      <c r="D50" s="586">
        <f>+ข้อมูลฐาน!D122</f>
        <v>3.91</v>
      </c>
      <c r="E50" s="587"/>
      <c r="F50" s="271">
        <f>D50</f>
        <v>3.91</v>
      </c>
      <c r="G50" s="212" t="str">
        <f>IF(D50&gt;=C50,"/",IF(D50&lt;C50,"X"))</f>
        <v>/</v>
      </c>
      <c r="H50" s="212"/>
    </row>
    <row r="51" spans="1:8" ht="33.75" customHeight="1">
      <c r="A51" s="154"/>
      <c r="B51" s="536" t="str">
        <f>+ข้อมูลฐาน!B125</f>
        <v>ตัวบ่งชี้ 7.6.1 ระบบพัฒนาบุคลากร</v>
      </c>
      <c r="C51" s="312">
        <f>+เป้าหมาย!C29</f>
        <v>0</v>
      </c>
      <c r="D51" s="546">
        <f>+ข้อมูลฐาน!D125</f>
        <v>7</v>
      </c>
      <c r="E51" s="546"/>
      <c r="F51" s="316">
        <f>IF(D51&lt;1,0,IF(D51&lt;2,1,IF(D51&lt;3,2,IF(D51&lt;5,3,IF(D51&lt;7,4,IF(D51=7,5))))))</f>
        <v>5</v>
      </c>
      <c r="G51" s="212" t="str">
        <f>IF(D51&gt;=C51,"/",IF(D51&lt;C51,"X"))</f>
        <v>/</v>
      </c>
      <c r="H51" s="212"/>
    </row>
    <row r="52" spans="1:8" s="83" customFormat="1" ht="23.25" customHeight="1">
      <c r="A52" s="153"/>
      <c r="B52" s="537"/>
      <c r="C52" s="270"/>
      <c r="D52" s="540"/>
      <c r="E52" s="541"/>
      <c r="F52" s="270"/>
      <c r="G52" s="155"/>
      <c r="H52" s="155"/>
    </row>
    <row r="53" spans="1:8" s="83" customFormat="1" ht="23.25" customHeight="1">
      <c r="A53" s="154"/>
      <c r="B53" s="536" t="str">
        <f>+เป้าหมาย!A30</f>
        <v>ตัวบ่งชี้ 7.6.2 ระดับความพึงพอใจของบุคลากรทุกระดับต่อกระบวนการพัฒนาความรู้และทักษะของสำนักงานอธิการบดี</v>
      </c>
      <c r="C53" s="546">
        <f>+เป้าหมาย!C30</f>
        <v>0</v>
      </c>
      <c r="D53" s="538">
        <f>+ข้อมูลฐาน!D134</f>
        <v>4.24</v>
      </c>
      <c r="E53" s="539"/>
      <c r="F53" s="544">
        <f>IF(D53&lt;1.51,1,IF(D53&lt;2.51,2,IF(D53&lt;3.51,3,IF(D53&lt;4.51,4,IF(D53&gt;=4.51,5,)))))</f>
        <v>4</v>
      </c>
      <c r="G53" s="542" t="str">
        <f>IF(D53&gt;=C53,"/",IF(D53&lt;C53,"X"))</f>
        <v>/</v>
      </c>
      <c r="H53" s="212"/>
    </row>
    <row r="54" spans="1:8" s="83" customFormat="1" ht="48.75" customHeight="1">
      <c r="A54" s="153"/>
      <c r="B54" s="537"/>
      <c r="C54" s="547"/>
      <c r="D54" s="540"/>
      <c r="E54" s="541"/>
      <c r="F54" s="545"/>
      <c r="G54" s="543"/>
      <c r="H54" s="155"/>
    </row>
    <row r="55" spans="1:8" ht="48.75" customHeight="1">
      <c r="A55" s="239"/>
      <c r="B55" s="304" t="str">
        <f>+เป้าหมาย!A31</f>
        <v>ตัวบ่งชี้ที่ 7.6.3 ร้อยละของบุคลากรที่ได้รับการพัฒนาความรู้และทักษะ</v>
      </c>
      <c r="C55" s="336"/>
      <c r="D55" s="301"/>
      <c r="E55" s="307"/>
      <c r="F55" s="274"/>
      <c r="G55" s="212"/>
      <c r="H55" s="212"/>
    </row>
    <row r="56" spans="1:8" ht="27" customHeight="1">
      <c r="A56" s="240" t="s">
        <v>182</v>
      </c>
      <c r="B56" s="332" t="str">
        <f>+ข้อมูลฐาน!B138</f>
        <v>บุคลากรที่ได้รับการพัฒนาความรู้และทักษะ</v>
      </c>
      <c r="C56" s="282">
        <f>+เป้าหมาย!C31</f>
        <v>0</v>
      </c>
      <c r="D56" s="276">
        <f>+ข้อมูลฐาน!D138</f>
        <v>232</v>
      </c>
      <c r="E56" s="302">
        <f>+D56*100/D57</f>
        <v>84.671532846715323</v>
      </c>
      <c r="F56" s="356">
        <f>+IF(E56&lt;80,E56*5/80,IF(E56&gt;=80,5))</f>
        <v>5</v>
      </c>
      <c r="G56" s="211" t="str">
        <f>IF(E56&gt;=C56,"/",IF(D56&lt;C56,"X"))</f>
        <v>/</v>
      </c>
      <c r="H56" s="211"/>
    </row>
    <row r="57" spans="1:8" ht="27" customHeight="1">
      <c r="A57" s="241" t="s">
        <v>182</v>
      </c>
      <c r="B57" s="333" t="str">
        <f>+ข้อมูลฐาน!B139</f>
        <v>บุคลากรทั้งหมด</v>
      </c>
      <c r="C57" s="270"/>
      <c r="D57" s="303">
        <f>+ข้อมูลฐาน!D139</f>
        <v>274</v>
      </c>
      <c r="E57" s="315"/>
      <c r="F57" s="315"/>
      <c r="G57" s="353"/>
      <c r="H57" s="211"/>
    </row>
    <row r="58" spans="1:8" s="83" customFormat="1" ht="33">
      <c r="A58" s="262" t="str">
        <f>+ข้อมูลฐาน!A175</f>
        <v>องค์ประกอบที่ 8  การเงินและงบประมาณ</v>
      </c>
      <c r="B58" s="263"/>
      <c r="C58" s="278"/>
      <c r="D58" s="278"/>
      <c r="E58" s="278"/>
      <c r="F58" s="278"/>
      <c r="G58" s="146"/>
      <c r="H58" s="146"/>
    </row>
    <row r="59" spans="1:8" s="85" customFormat="1" ht="33">
      <c r="A59" s="558" t="s">
        <v>93</v>
      </c>
      <c r="B59" s="559"/>
      <c r="C59" s="279"/>
      <c r="D59" s="280"/>
      <c r="E59" s="267"/>
      <c r="F59" s="268">
        <f>SUM(F60)/1</f>
        <v>2</v>
      </c>
      <c r="G59" s="149"/>
      <c r="H59" s="149"/>
    </row>
    <row r="60" spans="1:8" ht="39.75">
      <c r="A60" s="154"/>
      <c r="B60" s="536" t="s">
        <v>68</v>
      </c>
      <c r="C60" s="269">
        <f>เป้าหมาย!C45</f>
        <v>0</v>
      </c>
      <c r="D60" s="546">
        <f>ข้อมูลฐาน!D176</f>
        <v>2</v>
      </c>
      <c r="E60" s="546"/>
      <c r="F60" s="284">
        <f>IF(D60&lt;1,0,IF(D60&lt;2,1,IF(D60&lt;4,2,IF(D60&lt;6,3,IF(D60&lt;7,4,IF(D60=7,5))))))</f>
        <v>2</v>
      </c>
      <c r="G60" s="212" t="str">
        <f>IF(D60&gt;=C60,"/",IF(D60&lt;C60,"X"))</f>
        <v>/</v>
      </c>
      <c r="H60" s="212"/>
    </row>
    <row r="61" spans="1:8" s="83" customFormat="1" ht="33">
      <c r="A61" s="153"/>
      <c r="B61" s="537"/>
      <c r="C61" s="270"/>
      <c r="D61" s="540"/>
      <c r="E61" s="541"/>
      <c r="F61" s="270"/>
      <c r="G61" s="155"/>
      <c r="H61" s="155"/>
    </row>
    <row r="62" spans="1:8" ht="33">
      <c r="A62" s="262" t="str">
        <f>+ข้อมูลฐาน!A185</f>
        <v>องค์ประกอบที่  9  การประกันคุณภาพ</v>
      </c>
      <c r="B62" s="263"/>
      <c r="C62" s="278"/>
      <c r="D62" s="278"/>
      <c r="E62" s="278"/>
      <c r="F62" s="278"/>
      <c r="G62" s="146"/>
      <c r="H62" s="146"/>
    </row>
    <row r="63" spans="1:8" s="85" customFormat="1" ht="33">
      <c r="A63" s="558" t="s">
        <v>93</v>
      </c>
      <c r="B63" s="559"/>
      <c r="C63" s="279"/>
      <c r="D63" s="280"/>
      <c r="E63" s="267"/>
      <c r="F63" s="268">
        <f>SUM(F64)/1</f>
        <v>4</v>
      </c>
      <c r="G63" s="149"/>
      <c r="H63" s="149"/>
    </row>
    <row r="64" spans="1:8" ht="39.75">
      <c r="A64" s="154"/>
      <c r="B64" s="536" t="s">
        <v>69</v>
      </c>
      <c r="C64" s="269">
        <f>เป้าหมาย!C47</f>
        <v>0</v>
      </c>
      <c r="D64" s="546">
        <f>ข้อมูลฐาน!D186</f>
        <v>8</v>
      </c>
      <c r="E64" s="546"/>
      <c r="F64" s="284">
        <f>IF(D64&lt;1,0,IF(D64&lt;2,1,IF(D64&lt;4,2,IF(D64&lt;7,3,IF(D64&lt;9,4,IF(D64=9,5))))))</f>
        <v>4</v>
      </c>
      <c r="G64" s="212" t="str">
        <f>IF(D64&gt;=C64,"/",IF(D64&lt;C64,"X"))</f>
        <v>/</v>
      </c>
      <c r="H64" s="212"/>
    </row>
    <row r="65" spans="1:8" ht="33">
      <c r="A65" s="153"/>
      <c r="B65" s="537"/>
      <c r="C65" s="270"/>
      <c r="D65" s="540" t="s">
        <v>202</v>
      </c>
      <c r="E65" s="541"/>
      <c r="F65" s="270"/>
      <c r="G65" s="155"/>
      <c r="H65" s="155"/>
    </row>
    <row r="66" spans="1:8" s="92" customFormat="1" ht="42.75" customHeight="1">
      <c r="A66" s="557" t="s">
        <v>184</v>
      </c>
      <c r="B66" s="557"/>
      <c r="C66" s="234"/>
      <c r="D66" s="245"/>
      <c r="E66" s="246"/>
      <c r="F66" s="244">
        <f>+SUM(F16,F40,F42,F44,F46,F60,F64)/7</f>
        <v>4</v>
      </c>
      <c r="G66" s="235"/>
      <c r="H66" s="235"/>
    </row>
    <row r="67" spans="1:8" s="93" customFormat="1" ht="65.25" customHeight="1">
      <c r="A67" s="562" t="s">
        <v>185</v>
      </c>
      <c r="B67" s="563"/>
      <c r="C67" s="231"/>
      <c r="D67" s="248"/>
      <c r="E67" s="249"/>
      <c r="F67" s="247">
        <f>+F50</f>
        <v>3.91</v>
      </c>
      <c r="G67" s="218"/>
      <c r="H67" s="218"/>
    </row>
    <row r="68" spans="1:8" s="93" customFormat="1" ht="60" customHeight="1">
      <c r="A68" s="560" t="s">
        <v>199</v>
      </c>
      <c r="B68" s="561"/>
      <c r="C68" s="231"/>
      <c r="D68" s="248"/>
      <c r="E68" s="249"/>
      <c r="F68" s="247">
        <f>SUM(F19,F21,F24,F51,F53,F56)/6</f>
        <v>4.666666666666667</v>
      </c>
      <c r="G68" s="218"/>
      <c r="H68" s="218"/>
    </row>
    <row r="69" spans="1:8" s="94" customFormat="1" ht="39.75" hidden="1">
      <c r="A69" s="556" t="s">
        <v>151</v>
      </c>
      <c r="B69" s="556"/>
      <c r="C69" s="204"/>
      <c r="D69" s="251"/>
      <c r="E69" s="252"/>
      <c r="F69" s="250" t="e">
        <f>SUM(F16:F23,F26:F28,#REF!,#REF!,#REF!,#REF!,F40:F47,F50,F64,F60)/เป้าหมาย!#REF!</f>
        <v>#REF!</v>
      </c>
      <c r="G69" s="222"/>
      <c r="H69" s="222"/>
    </row>
    <row r="70" spans="1:8" ht="39.75" hidden="1">
      <c r="A70" s="591" t="s">
        <v>153</v>
      </c>
      <c r="B70" s="591"/>
      <c r="C70" s="148"/>
      <c r="D70" s="254"/>
      <c r="E70" s="255"/>
      <c r="F70" s="253" t="e">
        <f>SUM(F16:F23,F26:F28,#REF!,#REF!,#REF!,#REF!,F40:F47,F50,F60,F64)/เป้าหมาย!$B$49</f>
        <v>#REF!</v>
      </c>
      <c r="G70" s="147"/>
      <c r="H70" s="147"/>
    </row>
    <row r="71" spans="1:8" s="93" customFormat="1" ht="39.75" hidden="1">
      <c r="A71" s="590" t="s">
        <v>160</v>
      </c>
      <c r="B71" s="590"/>
      <c r="C71" s="242"/>
      <c r="D71" s="257"/>
      <c r="E71" s="258"/>
      <c r="F71" s="256" t="e">
        <f>#REF!</f>
        <v>#REF!</v>
      </c>
      <c r="G71" s="243"/>
      <c r="H71" s="243"/>
    </row>
    <row r="72" spans="1:8" ht="39.75">
      <c r="A72" s="583" t="s">
        <v>186</v>
      </c>
      <c r="B72" s="583"/>
      <c r="C72" s="232"/>
      <c r="D72" s="260"/>
      <c r="E72" s="261"/>
      <c r="F72" s="259">
        <f>+SUM(F16:F34,F40:F57,F60,F64)/เป้าหมาย!$B$49</f>
        <v>7.4887499999999996</v>
      </c>
      <c r="G72" s="233"/>
      <c r="H72" s="233"/>
    </row>
    <row r="73" spans="1:8" ht="30.75" hidden="1">
      <c r="A73" s="223"/>
      <c r="B73" s="95" t="s">
        <v>161</v>
      </c>
      <c r="F73" s="90" t="e">
        <f>+SUM(F16,#REF!,F21,#REF!,#REF!,#REF!,#REF!,F26,#REF!,#REF!,#REF!,#REF!,#REF!,#REF!,#REF!,#REF!,#REF!,#REF!,#REF!,#REF!,#REF!,#REF!,#REF!,#REF!,#REF!,#REF!,#REF!)</f>
        <v>#REF!</v>
      </c>
    </row>
    <row r="74" spans="1:8" hidden="1">
      <c r="B74" s="95" t="s">
        <v>162</v>
      </c>
      <c r="F74" s="90" t="e">
        <f>+SUM(#REF!,#REF!,#REF!,#REF!,#REF!,#REF!,#REF!,F40,F42,F44,F46,F50,F60,F64)</f>
        <v>#REF!</v>
      </c>
    </row>
  </sheetData>
  <mergeCells count="55">
    <mergeCell ref="A72:B72"/>
    <mergeCell ref="B64:B65"/>
    <mergeCell ref="A39:B39"/>
    <mergeCell ref="D64:E64"/>
    <mergeCell ref="D61:E61"/>
    <mergeCell ref="D60:E60"/>
    <mergeCell ref="D65:E65"/>
    <mergeCell ref="D49:E49"/>
    <mergeCell ref="D50:E50"/>
    <mergeCell ref="D43:E43"/>
    <mergeCell ref="D47:E47"/>
    <mergeCell ref="D41:E41"/>
    <mergeCell ref="D40:E40"/>
    <mergeCell ref="A71:B71"/>
    <mergeCell ref="A70:B70"/>
    <mergeCell ref="A63:B63"/>
    <mergeCell ref="A7:F7"/>
    <mergeCell ref="B8:B11"/>
    <mergeCell ref="D17:E17"/>
    <mergeCell ref="D16:E16"/>
    <mergeCell ref="F10:F11"/>
    <mergeCell ref="A14:B14"/>
    <mergeCell ref="C8:C11"/>
    <mergeCell ref="D8:F8"/>
    <mergeCell ref="A8:A11"/>
    <mergeCell ref="A13:B13"/>
    <mergeCell ref="A15:B15"/>
    <mergeCell ref="D9:F9"/>
    <mergeCell ref="A69:B69"/>
    <mergeCell ref="B42:B43"/>
    <mergeCell ref="A66:B66"/>
    <mergeCell ref="A59:B59"/>
    <mergeCell ref="B60:B61"/>
    <mergeCell ref="A68:B68"/>
    <mergeCell ref="A67:B67"/>
    <mergeCell ref="B51:B52"/>
    <mergeCell ref="G53:G54"/>
    <mergeCell ref="F53:F54"/>
    <mergeCell ref="C53:C54"/>
    <mergeCell ref="H8:H11"/>
    <mergeCell ref="D45:E45"/>
    <mergeCell ref="D51:E51"/>
    <mergeCell ref="D52:E52"/>
    <mergeCell ref="G8:G11"/>
    <mergeCell ref="D46:E46"/>
    <mergeCell ref="D44:E44"/>
    <mergeCell ref="D42:E42"/>
    <mergeCell ref="D19:E19"/>
    <mergeCell ref="A36:B36"/>
    <mergeCell ref="A37:B37"/>
    <mergeCell ref="A38:B38"/>
    <mergeCell ref="B53:B54"/>
    <mergeCell ref="D53:E54"/>
    <mergeCell ref="B40:B41"/>
    <mergeCell ref="B44:B45"/>
  </mergeCells>
  <phoneticPr fontId="2" type="noConversion"/>
  <conditionalFormatting sqref="A59 A63 A30">
    <cfRule type="colorScale" priority="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3:IV15 C13:E15 A13">
    <cfRule type="colorScale" priority="1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9:IV59 H30:IV30 H63:IV63 H13:IV15 C59:E59 A59 A63 A30 C13:E15 C63:E63 A13">
    <cfRule type="colorScale" priority="1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6:G53 G55:G64 G16:H34 H36:H64">
    <cfRule type="cellIs" dxfId="37" priority="30" stopIfTrue="1" operator="equal">
      <formula>"X"</formula>
    </cfRule>
  </conditionalFormatting>
  <conditionalFormatting sqref="C39:E39">
    <cfRule type="colorScale" priority="1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33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3:IV33 A33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6:G39">
    <cfRule type="cellIs" dxfId="36" priority="8" stopIfTrue="1" operator="equal">
      <formula>"X"</formula>
    </cfRule>
  </conditionalFormatting>
  <conditionalFormatting sqref="C38:E39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:E37 A36:A37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:E37 A36:A37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H39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H37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H37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47244094488188998" right="0.27559055118110198" top="0.511811023622047" bottom="0.47244094488188998" header="0.31496062992126" footer="0.31496062992126"/>
  <pageSetup paperSize="9" scale="75" orientation="portrait" r:id="rId1"/>
  <headerFooter>
    <oddHeader>&amp;C&amp;D&amp;R&amp;P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4"/>
  <sheetViews>
    <sheetView workbookViewId="0">
      <selection sqref="A1:XFD1048576"/>
    </sheetView>
  </sheetViews>
  <sheetFormatPr defaultRowHeight="27.75"/>
  <cols>
    <col min="1" max="1" width="2.875" style="86" customWidth="1"/>
    <col min="2" max="2" width="36.125" style="95" customWidth="1"/>
    <col min="3" max="3" width="10.625" style="85" customWidth="1"/>
    <col min="4" max="4" width="9.25" style="85" customWidth="1"/>
    <col min="5" max="5" width="11.25" style="221" customWidth="1"/>
    <col min="6" max="6" width="9.25" style="91" customWidth="1"/>
    <col min="7" max="7" width="9.875" style="221" customWidth="1"/>
    <col min="8" max="8" width="26.5" style="221" customWidth="1"/>
    <col min="9" max="16384" width="9" style="82"/>
  </cols>
  <sheetData>
    <row r="1" spans="1:8" ht="29.25" customHeight="1">
      <c r="A1" s="80"/>
      <c r="B1" s="264" t="s">
        <v>166</v>
      </c>
      <c r="C1" s="81"/>
      <c r="D1" s="81"/>
      <c r="E1" s="81"/>
      <c r="F1" s="213"/>
      <c r="G1" s="213"/>
      <c r="H1" s="213"/>
    </row>
    <row r="2" spans="1:8" hidden="1">
      <c r="A2" s="83"/>
      <c r="B2" s="84" t="s">
        <v>96</v>
      </c>
      <c r="C2" s="85">
        <f>ข้อมูลฐาน!B2</f>
        <v>0</v>
      </c>
      <c r="D2" s="378"/>
      <c r="E2" s="378"/>
      <c r="F2" s="378"/>
      <c r="G2" s="378"/>
      <c r="H2" s="378"/>
    </row>
    <row r="3" spans="1:8" hidden="1">
      <c r="A3" s="84"/>
      <c r="B3" s="86" t="s">
        <v>154</v>
      </c>
      <c r="C3" s="86" t="s">
        <v>155</v>
      </c>
      <c r="D3" s="378"/>
      <c r="E3" s="378"/>
      <c r="F3" s="378"/>
      <c r="G3" s="378"/>
      <c r="H3" s="378"/>
    </row>
    <row r="4" spans="1:8" hidden="1">
      <c r="A4" s="378"/>
      <c r="B4" s="86" t="s">
        <v>156</v>
      </c>
      <c r="C4" s="86" t="s">
        <v>157</v>
      </c>
      <c r="D4" s="378"/>
      <c r="E4" s="378"/>
      <c r="F4" s="378"/>
      <c r="G4" s="378"/>
      <c r="H4" s="378"/>
    </row>
    <row r="5" spans="1:8" hidden="1">
      <c r="A5" s="378"/>
      <c r="B5" s="82"/>
      <c r="C5" s="86" t="s">
        <v>158</v>
      </c>
      <c r="D5" s="378"/>
      <c r="E5" s="378"/>
      <c r="F5" s="378"/>
      <c r="G5" s="378"/>
      <c r="H5" s="378"/>
    </row>
    <row r="6" spans="1:8" hidden="1">
      <c r="A6" s="378"/>
      <c r="B6" s="86" t="s">
        <v>159</v>
      </c>
      <c r="C6" s="378"/>
      <c r="D6" s="378"/>
      <c r="E6" s="378"/>
      <c r="F6" s="378"/>
      <c r="G6" s="378"/>
      <c r="H6" s="378"/>
    </row>
    <row r="7" spans="1:8" hidden="1">
      <c r="A7" s="564"/>
      <c r="B7" s="564"/>
      <c r="C7" s="564"/>
      <c r="D7" s="564"/>
      <c r="E7" s="564"/>
      <c r="F7" s="564"/>
      <c r="G7" s="378"/>
      <c r="H7" s="378"/>
    </row>
    <row r="8" spans="1:8" ht="21.75" customHeight="1">
      <c r="A8" s="576"/>
      <c r="B8" s="565" t="s">
        <v>111</v>
      </c>
      <c r="C8" s="570" t="s">
        <v>70</v>
      </c>
      <c r="D8" s="573">
        <f>ข้อมูลฐาน!D3</f>
        <v>0</v>
      </c>
      <c r="E8" s="574"/>
      <c r="F8" s="575"/>
      <c r="G8" s="551" t="s">
        <v>21</v>
      </c>
      <c r="H8" s="548" t="s">
        <v>183</v>
      </c>
    </row>
    <row r="9" spans="1:8" ht="23.25" customHeight="1">
      <c r="A9" s="577"/>
      <c r="B9" s="566"/>
      <c r="C9" s="571"/>
      <c r="D9" s="580">
        <f>C2</f>
        <v>0</v>
      </c>
      <c r="E9" s="581"/>
      <c r="F9" s="582"/>
      <c r="G9" s="552"/>
      <c r="H9" s="549"/>
    </row>
    <row r="10" spans="1:8" ht="17.25" customHeight="1">
      <c r="A10" s="577"/>
      <c r="B10" s="566"/>
      <c r="C10" s="571"/>
      <c r="D10" s="285" t="s">
        <v>103</v>
      </c>
      <c r="E10" s="285" t="s">
        <v>105</v>
      </c>
      <c r="F10" s="568" t="s">
        <v>150</v>
      </c>
      <c r="G10" s="552"/>
      <c r="H10" s="549"/>
    </row>
    <row r="11" spans="1:8" s="87" customFormat="1" ht="16.5" customHeight="1">
      <c r="A11" s="578"/>
      <c r="B11" s="567"/>
      <c r="C11" s="572"/>
      <c r="D11" s="286" t="s">
        <v>104</v>
      </c>
      <c r="E11" s="287" t="s">
        <v>106</v>
      </c>
      <c r="F11" s="569"/>
      <c r="G11" s="553"/>
      <c r="H11" s="550"/>
    </row>
    <row r="12" spans="1:8" s="88" customFormat="1">
      <c r="A12" s="305" t="str">
        <f>+ข้อมูลฐาน!A5</f>
        <v>องค์ประกอบที่  1  ปรัชญา ปณิธาน วัตถุประสงค์ และแผนดำเนินการ</v>
      </c>
      <c r="B12" s="306"/>
      <c r="C12" s="145"/>
      <c r="D12" s="145"/>
      <c r="E12" s="219"/>
      <c r="F12" s="219"/>
      <c r="G12" s="219"/>
      <c r="H12" s="219"/>
    </row>
    <row r="13" spans="1:8" s="85" customFormat="1" ht="33">
      <c r="A13" s="579" t="s">
        <v>93</v>
      </c>
      <c r="B13" s="579"/>
      <c r="C13" s="265"/>
      <c r="D13" s="266"/>
      <c r="E13" s="267"/>
      <c r="F13" s="268" t="e">
        <f>F16/เป้าหมาย!#REF!</f>
        <v>#REF!</v>
      </c>
      <c r="G13" s="149"/>
      <c r="H13" s="149"/>
    </row>
    <row r="14" spans="1:8" s="85" customFormat="1" ht="33">
      <c r="A14" s="534" t="s">
        <v>197</v>
      </c>
      <c r="B14" s="535"/>
      <c r="C14" s="265"/>
      <c r="D14" s="266"/>
      <c r="E14" s="267"/>
      <c r="F14" s="268">
        <f>+SUM(F19,F21,F24)/3</f>
        <v>4.666666666666667</v>
      </c>
      <c r="G14" s="149"/>
      <c r="H14" s="149"/>
    </row>
    <row r="15" spans="1:8" s="85" customFormat="1" ht="33">
      <c r="A15" s="534" t="s">
        <v>198</v>
      </c>
      <c r="B15" s="535"/>
      <c r="C15" s="265"/>
      <c r="D15" s="266"/>
      <c r="E15" s="267"/>
      <c r="F15" s="268">
        <f>+SUM(F16,F19,F21,F24)/4</f>
        <v>4.5</v>
      </c>
      <c r="G15" s="149"/>
      <c r="H15" s="149"/>
    </row>
    <row r="16" spans="1:8" ht="26.25" customHeight="1">
      <c r="A16" s="154"/>
      <c r="B16" s="376" t="s">
        <v>72</v>
      </c>
      <c r="C16" s="377">
        <f>เป้าหมาย!C6</f>
        <v>0</v>
      </c>
      <c r="D16" s="546">
        <f>+ข้อมูลฐาน!D6</f>
        <v>7</v>
      </c>
      <c r="E16" s="546"/>
      <c r="F16" s="377">
        <f>IF(D16&lt;1,0,IF(D16&lt;2,1,IF(D16&lt;4,2,IF(D16&lt;6,3,IF(D16&lt;8,4,IF(D16=8,5))))))</f>
        <v>4</v>
      </c>
      <c r="G16" s="379" t="str">
        <f>IF(D16&gt;=C16,"/",IF(D16&lt;C16,"X"))</f>
        <v>/</v>
      </c>
      <c r="H16" s="379"/>
    </row>
    <row r="17" spans="1:8" ht="26.25" customHeight="1">
      <c r="A17" s="153"/>
      <c r="B17" s="151"/>
      <c r="C17" s="382"/>
      <c r="D17" s="540" t="s">
        <v>203</v>
      </c>
      <c r="E17" s="541"/>
      <c r="F17" s="382"/>
      <c r="G17" s="155"/>
      <c r="H17" s="155"/>
    </row>
    <row r="18" spans="1:8" ht="33">
      <c r="A18" s="216"/>
      <c r="B18" s="152" t="str">
        <f>+เป้าหมาย!A7</f>
        <v>ตัวบ่งชี้ที่ 1.2 ตัวบ่งชี้อัตลักษณ์ (สนอ.)</v>
      </c>
      <c r="C18" s="271"/>
      <c r="D18" s="272"/>
      <c r="E18" s="273"/>
      <c r="F18" s="271"/>
      <c r="G18" s="89"/>
      <c r="H18" s="89"/>
    </row>
    <row r="19" spans="1:8" ht="72">
      <c r="A19" s="239"/>
      <c r="B19" s="311" t="str">
        <f>+เป้าหมาย!A8</f>
        <v>ตัวบ่งชี้ที่ 1.2.1  ระดับความพึงพอใจของผู้รับบริการต่อการให้บริการของสำนักงานอธิการบดี</v>
      </c>
      <c r="C19" s="336"/>
      <c r="D19" s="554">
        <f>ข้อมูลฐาน!D17</f>
        <v>3.9180000000000001</v>
      </c>
      <c r="E19" s="555"/>
      <c r="F19" s="314">
        <f>IF(D19&lt;1.51,1,IF(D19&lt;2.51,2,IF(D19&lt;3.51,3,IF(D19&lt;4.51,4,IF(D19&gt;=4.51,5,)))))</f>
        <v>4</v>
      </c>
      <c r="G19" s="211" t="str">
        <f>IF(D19&gt;=C19,"/",IF(#REF!&lt;C19,"X"))</f>
        <v>/</v>
      </c>
      <c r="H19" s="379"/>
    </row>
    <row r="20" spans="1:8" ht="48.75" customHeight="1">
      <c r="A20" s="239"/>
      <c r="B20" s="304" t="str">
        <f>+เป้าหมาย!A9</f>
        <v>ตัวบ่งชี้ที่ 1.2.2 ร้อยละเฉลี่ยของบุคลากรที่เข้าร่วมกิจกรรมสาธารณประโยชน์ที่สำนักงานอธิการบดีจัดขึ้น</v>
      </c>
      <c r="C20" s="336"/>
      <c r="D20" s="301"/>
      <c r="E20" s="307"/>
      <c r="F20" s="274"/>
      <c r="G20" s="379"/>
      <c r="H20" s="379"/>
    </row>
    <row r="21" spans="1:8" ht="27" customHeight="1">
      <c r="A21" s="240" t="s">
        <v>182</v>
      </c>
      <c r="B21" s="332" t="str">
        <f>+ข้อมูลฐาน!B21</f>
        <v>บุคลากรที่เข้าร่วมกิจกรรมสาธารณประโยชน์</v>
      </c>
      <c r="C21" s="282">
        <f>+เป้าหมาย!C9</f>
        <v>0</v>
      </c>
      <c r="D21" s="276">
        <f>+ข้อมูลฐาน!D21</f>
        <v>225</v>
      </c>
      <c r="E21" s="302">
        <f>+D21*100/D22</f>
        <v>82.116788321167888</v>
      </c>
      <c r="F21" s="356">
        <f>+IF(E21&lt;80,E21*5/80,IF(E21&gt;=80,5))</f>
        <v>5</v>
      </c>
      <c r="G21" s="211" t="str">
        <f>IF(E21&gt;=C21,"/",IF(D21&lt;C21,"X"))</f>
        <v>/</v>
      </c>
      <c r="H21" s="211"/>
    </row>
    <row r="22" spans="1:8" ht="27" customHeight="1">
      <c r="A22" s="241" t="s">
        <v>182</v>
      </c>
      <c r="B22" s="333" t="str">
        <f>+ข้อมูลฐาน!B22</f>
        <v>บุคลากรทั้งหมด</v>
      </c>
      <c r="C22" s="382"/>
      <c r="D22" s="303">
        <f>+ข้อมูลฐาน!D22</f>
        <v>274</v>
      </c>
      <c r="E22" s="315"/>
      <c r="F22" s="315"/>
      <c r="G22" s="380"/>
      <c r="H22" s="211"/>
    </row>
    <row r="23" spans="1:8" ht="72">
      <c r="A23" s="239"/>
      <c r="B23" s="311" t="str">
        <f>+เป้าหมาย!A10</f>
        <v>ตัวบ่งชี้ที่ 1.2.3 จำนวนหน่วยงานของสำนักงานอธิการบดีที่ได้มีการแลกเปลี่ยนเรียนรู้ร่วมกับหน่วยงานอื่น</v>
      </c>
      <c r="C23" s="336"/>
      <c r="D23" s="301"/>
      <c r="E23" s="307"/>
      <c r="F23" s="274"/>
      <c r="G23" s="379"/>
      <c r="H23" s="379"/>
    </row>
    <row r="24" spans="1:8" ht="39.75">
      <c r="A24" s="240" t="s">
        <v>182</v>
      </c>
      <c r="B24" s="355" t="str">
        <f>+ข้อมูลฐาน!B25</f>
        <v>จำนวนหน่วยงานใน สนอ.ที่เข้าร่วมแลกเปลี่ยนเรียนรู้ฯ</v>
      </c>
      <c r="C24" s="282">
        <f>+เป้าหมาย!C10</f>
        <v>0</v>
      </c>
      <c r="D24" s="276">
        <f>+ข้อมูลฐาน!D25</f>
        <v>13</v>
      </c>
      <c r="E24" s="302">
        <f>+D24*100/D25</f>
        <v>86.666666666666671</v>
      </c>
      <c r="F24" s="356">
        <f>+IF(E24&lt;80,E24*5/80,IF(E24&gt;=80,5))</f>
        <v>5</v>
      </c>
      <c r="G24" s="211" t="str">
        <f>IF(E24&gt;=C24,"/",IF(D24&lt;C24,"X"))</f>
        <v>/</v>
      </c>
      <c r="H24" s="211"/>
    </row>
    <row r="25" spans="1:8" ht="39.75">
      <c r="A25" s="241" t="s">
        <v>182</v>
      </c>
      <c r="B25" s="355" t="str">
        <f>+ข้อมูลฐาน!B26</f>
        <v>จำนวนหน่วยงานทั้งหมด</v>
      </c>
      <c r="C25" s="382"/>
      <c r="D25" s="303">
        <f>+ข้อมูลฐาน!D26</f>
        <v>15</v>
      </c>
      <c r="E25" s="315"/>
      <c r="F25" s="315"/>
      <c r="G25" s="380"/>
      <c r="H25" s="211"/>
    </row>
    <row r="26" spans="1:8" ht="39.75" hidden="1">
      <c r="A26" s="154"/>
      <c r="B26" s="313"/>
      <c r="C26" s="336"/>
      <c r="D26" s="301"/>
      <c r="E26" s="307"/>
      <c r="F26" s="274"/>
      <c r="G26" s="379"/>
      <c r="H26" s="379"/>
    </row>
    <row r="27" spans="1:8" ht="31.5" hidden="1" customHeight="1">
      <c r="A27" s="220"/>
      <c r="B27" s="334"/>
      <c r="C27" s="282"/>
      <c r="D27" s="337"/>
      <c r="E27" s="338"/>
      <c r="F27" s="314"/>
      <c r="G27" s="211"/>
      <c r="H27" s="211"/>
    </row>
    <row r="28" spans="1:8" ht="27.75" hidden="1" customHeight="1">
      <c r="A28" s="153"/>
      <c r="B28" s="335"/>
      <c r="C28" s="382"/>
      <c r="D28" s="303"/>
      <c r="E28" s="315"/>
      <c r="F28" s="314"/>
      <c r="G28" s="211"/>
      <c r="H28" s="155"/>
    </row>
    <row r="29" spans="1:8" ht="39.75" hidden="1">
      <c r="A29" s="154"/>
      <c r="B29" s="313"/>
      <c r="C29" s="336"/>
      <c r="D29" s="301"/>
      <c r="E29" s="307"/>
      <c r="F29" s="274"/>
      <c r="G29" s="379"/>
      <c r="H29" s="379"/>
    </row>
    <row r="30" spans="1:8" ht="39.75" hidden="1">
      <c r="A30" s="220"/>
      <c r="B30" s="334"/>
      <c r="C30" s="282"/>
      <c r="D30" s="277"/>
      <c r="E30" s="302"/>
      <c r="F30" s="314"/>
      <c r="G30" s="211"/>
      <c r="H30" s="211"/>
    </row>
    <row r="31" spans="1:8" ht="7.5" hidden="1" customHeight="1">
      <c r="A31" s="153"/>
      <c r="B31" s="335"/>
      <c r="C31" s="382"/>
      <c r="D31" s="303"/>
      <c r="E31" s="315"/>
      <c r="F31" s="314"/>
      <c r="G31" s="211"/>
      <c r="H31" s="155"/>
    </row>
    <row r="32" spans="1:8" ht="39.75" hidden="1">
      <c r="A32" s="154"/>
      <c r="B32" s="313"/>
      <c r="C32" s="336"/>
      <c r="D32" s="301"/>
      <c r="E32" s="307"/>
      <c r="F32" s="274"/>
      <c r="G32" s="379"/>
      <c r="H32" s="379"/>
    </row>
    <row r="33" spans="1:8" ht="31.5" hidden="1" customHeight="1">
      <c r="A33" s="220"/>
      <c r="B33" s="334"/>
      <c r="C33" s="282"/>
      <c r="D33" s="276"/>
      <c r="E33" s="302"/>
      <c r="F33" s="314"/>
      <c r="G33" s="211"/>
      <c r="H33" s="211"/>
    </row>
    <row r="34" spans="1:8" ht="27.75" hidden="1" customHeight="1">
      <c r="A34" s="153"/>
      <c r="B34" s="334"/>
      <c r="C34" s="382"/>
      <c r="D34" s="303"/>
      <c r="E34" s="315"/>
      <c r="F34" s="314"/>
      <c r="G34" s="211"/>
      <c r="H34" s="155"/>
    </row>
    <row r="35" spans="1:8" ht="27.75" customHeight="1">
      <c r="A35" s="305" t="str">
        <f>+เป้าหมาย!A22</f>
        <v>องค์ประกอบที่ 7  การบริหารและการจัดการ</v>
      </c>
      <c r="B35" s="306"/>
      <c r="C35" s="145"/>
      <c r="D35" s="145"/>
      <c r="E35" s="219"/>
      <c r="F35" s="219"/>
      <c r="G35" s="219"/>
      <c r="H35" s="219"/>
    </row>
    <row r="36" spans="1:8" ht="27.75" customHeight="1">
      <c r="A36" s="533" t="s">
        <v>93</v>
      </c>
      <c r="B36" s="533"/>
      <c r="C36" s="359"/>
      <c r="D36" s="360"/>
      <c r="E36" s="361"/>
      <c r="F36" s="362">
        <f>+SUM(F42,F40,F44,F46)/4</f>
        <v>4.5</v>
      </c>
      <c r="G36" s="149"/>
      <c r="H36" s="265"/>
    </row>
    <row r="37" spans="1:8" ht="27.75" customHeight="1">
      <c r="A37" s="533" t="s">
        <v>94</v>
      </c>
      <c r="B37" s="533"/>
      <c r="C37" s="359"/>
      <c r="D37" s="360"/>
      <c r="E37" s="361"/>
      <c r="F37" s="362">
        <f>+F50</f>
        <v>3.91</v>
      </c>
      <c r="G37" s="149"/>
      <c r="H37" s="265"/>
    </row>
    <row r="38" spans="1:8" ht="27.75" customHeight="1">
      <c r="A38" s="534" t="s">
        <v>197</v>
      </c>
      <c r="B38" s="535"/>
      <c r="C38" s="359"/>
      <c r="D38" s="360"/>
      <c r="E38" s="361"/>
      <c r="F38" s="362">
        <f>SUM(F51:F57)/3</f>
        <v>4.666666666666667</v>
      </c>
      <c r="G38" s="149"/>
      <c r="H38" s="265"/>
    </row>
    <row r="39" spans="1:8" s="85" customFormat="1" ht="33" customHeight="1">
      <c r="A39" s="534" t="s">
        <v>198</v>
      </c>
      <c r="B39" s="535"/>
      <c r="C39" s="363"/>
      <c r="D39" s="364"/>
      <c r="E39" s="365"/>
      <c r="F39" s="366">
        <f>+SUM(F40:F57)/8</f>
        <v>4.4887499999999996</v>
      </c>
      <c r="G39" s="358"/>
      <c r="H39" s="357"/>
    </row>
    <row r="40" spans="1:8" ht="39.75">
      <c r="A40" s="154"/>
      <c r="B40" s="536" t="s">
        <v>73</v>
      </c>
      <c r="C40" s="377">
        <f>เป้าหมาย!C23</f>
        <v>0</v>
      </c>
      <c r="D40" s="546">
        <f>ข้อมูลฐาน!D78</f>
        <v>5</v>
      </c>
      <c r="E40" s="546"/>
      <c r="F40" s="284">
        <f>IF(D40&lt;1,0,IF(D40&lt;2,1,IF(D40&lt;4,2,IF(D40&lt;6,3,IF(D40=6,4,IF(D40=7,5,))))))</f>
        <v>3</v>
      </c>
      <c r="G40" s="379" t="str">
        <f>IF(D40&gt;=C40,"/",IF(D40&lt;C40,"X"))</f>
        <v>/</v>
      </c>
      <c r="H40" s="379"/>
    </row>
    <row r="41" spans="1:8" s="83" customFormat="1" ht="33" customHeight="1">
      <c r="A41" s="220"/>
      <c r="B41" s="537"/>
      <c r="C41" s="282"/>
      <c r="D41" s="540" t="s">
        <v>200</v>
      </c>
      <c r="E41" s="541"/>
      <c r="F41" s="314"/>
      <c r="G41" s="215"/>
      <c r="H41" s="215"/>
    </row>
    <row r="42" spans="1:8" ht="39.75">
      <c r="A42" s="154"/>
      <c r="B42" s="536" t="s">
        <v>65</v>
      </c>
      <c r="C42" s="377">
        <f>เป้าหมาย!C24</f>
        <v>0</v>
      </c>
      <c r="D42" s="546">
        <f>ข้อมูลฐาน!D87</f>
        <v>5</v>
      </c>
      <c r="E42" s="546"/>
      <c r="F42" s="284">
        <f>IF(D42&lt;1,0,IF(D42&lt;2,1,IF(D42&lt;3,2,IF(D42&lt;4,3,IF(D42&lt;5,4,IF(D42=5,5))))))</f>
        <v>5</v>
      </c>
      <c r="G42" s="379" t="str">
        <f>IF(D42&gt;=C42,"/",IF(D42&lt;C42,"X"))</f>
        <v>/</v>
      </c>
      <c r="H42" s="379"/>
    </row>
    <row r="43" spans="1:8" s="83" customFormat="1" ht="33">
      <c r="A43" s="153"/>
      <c r="B43" s="537"/>
      <c r="C43" s="382"/>
      <c r="D43" s="588"/>
      <c r="E43" s="589"/>
      <c r="F43" s="315"/>
      <c r="G43" s="155"/>
      <c r="H43" s="155"/>
    </row>
    <row r="44" spans="1:8" ht="39.75">
      <c r="A44" s="154"/>
      <c r="B44" s="536" t="s">
        <v>66</v>
      </c>
      <c r="C44" s="377">
        <f>เป้าหมาย!C25</f>
        <v>0</v>
      </c>
      <c r="D44" s="546">
        <f>ข้อมูลฐาน!D94</f>
        <v>5</v>
      </c>
      <c r="E44" s="546"/>
      <c r="F44" s="284">
        <f>IF(D44&lt;1,0,IF(D44&lt;2,1,IF(D44&lt;3,2,IF(D44&lt;4,3,IF(D44=4,4,IF(D44=5,5,))))))</f>
        <v>5</v>
      </c>
      <c r="G44" s="379" t="str">
        <f>IF(D44&gt;=C44,"/",IF(D44&lt;C44,"X"))</f>
        <v>/</v>
      </c>
      <c r="H44" s="379"/>
    </row>
    <row r="45" spans="1:8" s="83" customFormat="1" ht="33">
      <c r="A45" s="153"/>
      <c r="B45" s="537"/>
      <c r="C45" s="382"/>
      <c r="D45" s="540" t="s">
        <v>201</v>
      </c>
      <c r="E45" s="541"/>
      <c r="F45" s="315"/>
      <c r="G45" s="155"/>
      <c r="H45" s="155"/>
    </row>
    <row r="46" spans="1:8" ht="33.75" customHeight="1">
      <c r="A46" s="154"/>
      <c r="B46" s="376" t="s">
        <v>67</v>
      </c>
      <c r="C46" s="377">
        <f>เป้าหมาย!C26</f>
        <v>0</v>
      </c>
      <c r="D46" s="546">
        <f>ข้อมูลฐาน!D101</f>
        <v>6</v>
      </c>
      <c r="E46" s="546"/>
      <c r="F46" s="284">
        <f>IF(D46&lt;1,0,IF(D46&lt;2,1,IF(D46&lt;3,2,IF(D46&lt;5,3,IF(D46=5,4,IF(D46&gt;=6,5,))))))</f>
        <v>5</v>
      </c>
      <c r="G46" s="379" t="str">
        <f>IF(D46&gt;=C46,"/",IF(D46&lt;C46,"X"))</f>
        <v>/</v>
      </c>
      <c r="H46" s="379"/>
    </row>
    <row r="47" spans="1:8" s="83" customFormat="1" ht="24.75" customHeight="1">
      <c r="A47" s="153"/>
      <c r="B47" s="151"/>
      <c r="C47" s="382"/>
      <c r="D47" s="540"/>
      <c r="E47" s="541"/>
      <c r="F47" s="382"/>
      <c r="G47" s="155"/>
      <c r="H47" s="155"/>
    </row>
    <row r="48" spans="1:8" ht="33">
      <c r="A48" s="216"/>
      <c r="B48" s="152" t="s">
        <v>152</v>
      </c>
      <c r="C48" s="271"/>
      <c r="D48" s="272"/>
      <c r="E48" s="273"/>
      <c r="F48" s="271"/>
      <c r="G48" s="89"/>
      <c r="H48" s="89"/>
    </row>
    <row r="49" spans="1:8" ht="165" hidden="1" customHeight="1">
      <c r="A49" s="216"/>
      <c r="B49" s="150" t="s">
        <v>74</v>
      </c>
      <c r="C49" s="271"/>
      <c r="D49" s="584" t="str">
        <f>ข้อมูลฐาน!D116</f>
        <v>ไม่ประเมินระดับคณะ</v>
      </c>
      <c r="E49" s="585"/>
      <c r="F49" s="281">
        <v>0</v>
      </c>
      <c r="G49" s="89"/>
      <c r="H49" s="89"/>
    </row>
    <row r="50" spans="1:8" ht="48">
      <c r="A50" s="216"/>
      <c r="B50" s="150" t="s">
        <v>75</v>
      </c>
      <c r="C50" s="271">
        <f>เป้าหมาย!C27</f>
        <v>0</v>
      </c>
      <c r="D50" s="586">
        <f>+ข้อมูลฐาน!D122</f>
        <v>3.91</v>
      </c>
      <c r="E50" s="587"/>
      <c r="F50" s="271">
        <f>D50</f>
        <v>3.91</v>
      </c>
      <c r="G50" s="379" t="str">
        <f>IF(D50&gt;=C50,"/",IF(D50&lt;C50,"X"))</f>
        <v>/</v>
      </c>
      <c r="H50" s="379"/>
    </row>
    <row r="51" spans="1:8" ht="33.75" customHeight="1">
      <c r="A51" s="154"/>
      <c r="B51" s="536" t="str">
        <f>+ข้อมูลฐาน!B125</f>
        <v>ตัวบ่งชี้ 7.6.1 ระบบพัฒนาบุคลากร</v>
      </c>
      <c r="C51" s="377">
        <f>+เป้าหมาย!C29</f>
        <v>0</v>
      </c>
      <c r="D51" s="546">
        <f>+ข้อมูลฐาน!D125</f>
        <v>7</v>
      </c>
      <c r="E51" s="546"/>
      <c r="F51" s="381">
        <f>IF(D51&lt;1,0,IF(D51&lt;2,1,IF(D51&lt;3,2,IF(D51&lt;5,3,IF(D51&lt;7,4,IF(D51=7,5))))))</f>
        <v>5</v>
      </c>
      <c r="G51" s="379" t="str">
        <f>IF(D51&gt;=C51,"/",IF(D51&lt;C51,"X"))</f>
        <v>/</v>
      </c>
      <c r="H51" s="379"/>
    </row>
    <row r="52" spans="1:8" s="83" customFormat="1" ht="23.25" customHeight="1">
      <c r="A52" s="153"/>
      <c r="B52" s="537"/>
      <c r="C52" s="382"/>
      <c r="D52" s="540"/>
      <c r="E52" s="541"/>
      <c r="F52" s="382"/>
      <c r="G52" s="155"/>
      <c r="H52" s="155"/>
    </row>
    <row r="53" spans="1:8" s="83" customFormat="1" ht="23.25" customHeight="1">
      <c r="A53" s="154"/>
      <c r="B53" s="536" t="str">
        <f>+เป้าหมาย!A30</f>
        <v>ตัวบ่งชี้ 7.6.2 ระดับความพึงพอใจของบุคลากรทุกระดับต่อกระบวนการพัฒนาความรู้และทักษะของสำนักงานอธิการบดี</v>
      </c>
      <c r="C53" s="546">
        <f>+เป้าหมาย!C30</f>
        <v>0</v>
      </c>
      <c r="D53" s="538">
        <f>+ข้อมูลฐาน!D134</f>
        <v>4.24</v>
      </c>
      <c r="E53" s="539"/>
      <c r="F53" s="544">
        <f>IF(D53&lt;1.51,1,IF(D53&lt;2.51,2,IF(D53&lt;3.51,3,IF(D53&lt;4.51,4,IF(D53&gt;=4.51,5,)))))</f>
        <v>4</v>
      </c>
      <c r="G53" s="542" t="str">
        <f>IF(D53&gt;=C53,"/",IF(D53&lt;C53,"X"))</f>
        <v>/</v>
      </c>
      <c r="H53" s="379"/>
    </row>
    <row r="54" spans="1:8" s="83" customFormat="1" ht="48.75" customHeight="1">
      <c r="A54" s="153"/>
      <c r="B54" s="537"/>
      <c r="C54" s="547"/>
      <c r="D54" s="540"/>
      <c r="E54" s="541"/>
      <c r="F54" s="545"/>
      <c r="G54" s="543"/>
      <c r="H54" s="155"/>
    </row>
    <row r="55" spans="1:8" ht="48.75" customHeight="1">
      <c r="A55" s="239"/>
      <c r="B55" s="304" t="str">
        <f>+เป้าหมาย!A31</f>
        <v>ตัวบ่งชี้ที่ 7.6.3 ร้อยละของบุคลากรที่ได้รับการพัฒนาความรู้และทักษะ</v>
      </c>
      <c r="C55" s="336"/>
      <c r="D55" s="301"/>
      <c r="E55" s="307"/>
      <c r="F55" s="274"/>
      <c r="G55" s="379"/>
      <c r="H55" s="379"/>
    </row>
    <row r="56" spans="1:8" ht="27" customHeight="1">
      <c r="A56" s="240" t="s">
        <v>182</v>
      </c>
      <c r="B56" s="332" t="str">
        <f>+ข้อมูลฐาน!B138</f>
        <v>บุคลากรที่ได้รับการพัฒนาความรู้และทักษะ</v>
      </c>
      <c r="C56" s="282">
        <f>+เป้าหมาย!C31</f>
        <v>0</v>
      </c>
      <c r="D56" s="276">
        <f>+ข้อมูลฐาน!D138</f>
        <v>232</v>
      </c>
      <c r="E56" s="302">
        <f>+D56*100/D57</f>
        <v>84.671532846715323</v>
      </c>
      <c r="F56" s="356">
        <f>+IF(E56&lt;80,E56*5/80,IF(E56&gt;=80,5))</f>
        <v>5</v>
      </c>
      <c r="G56" s="211" t="str">
        <f>IF(E56&gt;=C56,"/",IF(D56&lt;C56,"X"))</f>
        <v>/</v>
      </c>
      <c r="H56" s="211"/>
    </row>
    <row r="57" spans="1:8" ht="27" customHeight="1">
      <c r="A57" s="241" t="s">
        <v>182</v>
      </c>
      <c r="B57" s="333" t="str">
        <f>+ข้อมูลฐาน!B139</f>
        <v>บุคลากรทั้งหมด</v>
      </c>
      <c r="C57" s="382"/>
      <c r="D57" s="303">
        <f>+ข้อมูลฐาน!D139</f>
        <v>274</v>
      </c>
      <c r="E57" s="315"/>
      <c r="F57" s="315"/>
      <c r="G57" s="380"/>
      <c r="H57" s="211"/>
    </row>
    <row r="58" spans="1:8" s="83" customFormat="1" ht="33">
      <c r="A58" s="262" t="str">
        <f>+ข้อมูลฐาน!A175</f>
        <v>องค์ประกอบที่ 8  การเงินและงบประมาณ</v>
      </c>
      <c r="B58" s="263"/>
      <c r="C58" s="278"/>
      <c r="D58" s="278"/>
      <c r="E58" s="278"/>
      <c r="F58" s="278"/>
      <c r="G58" s="146"/>
      <c r="H58" s="146"/>
    </row>
    <row r="59" spans="1:8" s="85" customFormat="1" ht="33">
      <c r="A59" s="558" t="s">
        <v>93</v>
      </c>
      <c r="B59" s="559"/>
      <c r="C59" s="279"/>
      <c r="D59" s="280"/>
      <c r="E59" s="267"/>
      <c r="F59" s="268">
        <f>SUM(F60)/1</f>
        <v>2</v>
      </c>
      <c r="G59" s="149"/>
      <c r="H59" s="149"/>
    </row>
    <row r="60" spans="1:8" ht="39.75">
      <c r="A60" s="154"/>
      <c r="B60" s="536" t="s">
        <v>68</v>
      </c>
      <c r="C60" s="377">
        <f>เป้าหมาย!C45</f>
        <v>0</v>
      </c>
      <c r="D60" s="546">
        <f>ข้อมูลฐาน!D176</f>
        <v>2</v>
      </c>
      <c r="E60" s="546"/>
      <c r="F60" s="284">
        <f>IF(D60&lt;1,0,IF(D60&lt;2,1,IF(D60&lt;4,2,IF(D60&lt;6,3,IF(D60&lt;7,4,IF(D60=7,5))))))</f>
        <v>2</v>
      </c>
      <c r="G60" s="379" t="str">
        <f>IF(D60&gt;=C60,"/",IF(D60&lt;C60,"X"))</f>
        <v>/</v>
      </c>
      <c r="H60" s="379"/>
    </row>
    <row r="61" spans="1:8" s="83" customFormat="1" ht="33">
      <c r="A61" s="153"/>
      <c r="B61" s="537"/>
      <c r="C61" s="382"/>
      <c r="D61" s="540"/>
      <c r="E61" s="541"/>
      <c r="F61" s="382"/>
      <c r="G61" s="155"/>
      <c r="H61" s="155"/>
    </row>
    <row r="62" spans="1:8" ht="33">
      <c r="A62" s="262" t="str">
        <f>+ข้อมูลฐาน!A185</f>
        <v>องค์ประกอบที่  9  การประกันคุณภาพ</v>
      </c>
      <c r="B62" s="263"/>
      <c r="C62" s="278"/>
      <c r="D62" s="278"/>
      <c r="E62" s="278"/>
      <c r="F62" s="278"/>
      <c r="G62" s="146"/>
      <c r="H62" s="146"/>
    </row>
    <row r="63" spans="1:8" s="85" customFormat="1" ht="33">
      <c r="A63" s="558" t="s">
        <v>93</v>
      </c>
      <c r="B63" s="559"/>
      <c r="C63" s="279"/>
      <c r="D63" s="280"/>
      <c r="E63" s="267"/>
      <c r="F63" s="268">
        <f>SUM(F64)/1</f>
        <v>4</v>
      </c>
      <c r="G63" s="149"/>
      <c r="H63" s="149"/>
    </row>
    <row r="64" spans="1:8" ht="39.75">
      <c r="A64" s="154"/>
      <c r="B64" s="536" t="s">
        <v>69</v>
      </c>
      <c r="C64" s="377">
        <f>เป้าหมาย!C47</f>
        <v>0</v>
      </c>
      <c r="D64" s="546">
        <f>ข้อมูลฐาน!D186</f>
        <v>8</v>
      </c>
      <c r="E64" s="546"/>
      <c r="F64" s="284">
        <f>IF(D64&lt;1,0,IF(D64&lt;2,1,IF(D64&lt;4,2,IF(D64&lt;7,3,IF(D64&lt;9,4,IF(D64=9,5))))))</f>
        <v>4</v>
      </c>
      <c r="G64" s="379" t="str">
        <f>IF(D64&gt;=C64,"/",IF(D64&lt;C64,"X"))</f>
        <v>/</v>
      </c>
      <c r="H64" s="379"/>
    </row>
    <row r="65" spans="1:8" ht="33">
      <c r="A65" s="153"/>
      <c r="B65" s="537"/>
      <c r="C65" s="382"/>
      <c r="D65" s="540" t="s">
        <v>202</v>
      </c>
      <c r="E65" s="541"/>
      <c r="F65" s="382"/>
      <c r="G65" s="155"/>
      <c r="H65" s="155"/>
    </row>
    <row r="66" spans="1:8" s="92" customFormat="1" ht="42.75" customHeight="1">
      <c r="A66" s="557" t="s">
        <v>184</v>
      </c>
      <c r="B66" s="557"/>
      <c r="C66" s="234"/>
      <c r="D66" s="245"/>
      <c r="E66" s="246"/>
      <c r="F66" s="244">
        <f>+SUM(F16,F40,F42,F44,F46,F60,F64)/7</f>
        <v>4</v>
      </c>
      <c r="G66" s="235"/>
      <c r="H66" s="235"/>
    </row>
    <row r="67" spans="1:8" s="93" customFormat="1" ht="65.25" customHeight="1">
      <c r="A67" s="562" t="s">
        <v>185</v>
      </c>
      <c r="B67" s="563"/>
      <c r="C67" s="231"/>
      <c r="D67" s="248"/>
      <c r="E67" s="249"/>
      <c r="F67" s="247">
        <f>+F50</f>
        <v>3.91</v>
      </c>
      <c r="G67" s="218"/>
      <c r="H67" s="218"/>
    </row>
    <row r="68" spans="1:8" s="93" customFormat="1" ht="60" customHeight="1">
      <c r="A68" s="560" t="s">
        <v>199</v>
      </c>
      <c r="B68" s="561"/>
      <c r="C68" s="231"/>
      <c r="D68" s="248"/>
      <c r="E68" s="249"/>
      <c r="F68" s="247">
        <f>SUM(F19,F21,F24,F51,F53,F56)/6</f>
        <v>4.666666666666667</v>
      </c>
      <c r="G68" s="218"/>
      <c r="H68" s="218"/>
    </row>
    <row r="69" spans="1:8" s="94" customFormat="1" ht="39.75" hidden="1">
      <c r="A69" s="556" t="s">
        <v>151</v>
      </c>
      <c r="B69" s="556"/>
      <c r="C69" s="204"/>
      <c r="D69" s="251"/>
      <c r="E69" s="252"/>
      <c r="F69" s="250" t="e">
        <f>SUM(F16:F23,F26:F28,#REF!,#REF!,#REF!,#REF!,F40:F47,F50,F64,F60)/เป้าหมาย!#REF!</f>
        <v>#REF!</v>
      </c>
      <c r="G69" s="222"/>
      <c r="H69" s="222"/>
    </row>
    <row r="70" spans="1:8" ht="39.75" hidden="1">
      <c r="A70" s="591" t="s">
        <v>153</v>
      </c>
      <c r="B70" s="591"/>
      <c r="C70" s="148"/>
      <c r="D70" s="254"/>
      <c r="E70" s="255"/>
      <c r="F70" s="253" t="e">
        <f>SUM(F16:F23,F26:F28,#REF!,#REF!,#REF!,#REF!,F40:F47,F50,F60,F64)/เป้าหมาย!$B$49</f>
        <v>#REF!</v>
      </c>
      <c r="G70" s="147"/>
      <c r="H70" s="147"/>
    </row>
    <row r="71" spans="1:8" s="93" customFormat="1" ht="39.75" hidden="1">
      <c r="A71" s="590" t="s">
        <v>160</v>
      </c>
      <c r="B71" s="590"/>
      <c r="C71" s="242"/>
      <c r="D71" s="257"/>
      <c r="E71" s="258"/>
      <c r="F71" s="256" t="e">
        <f>#REF!</f>
        <v>#REF!</v>
      </c>
      <c r="G71" s="243"/>
      <c r="H71" s="243"/>
    </row>
    <row r="72" spans="1:8" ht="39.75">
      <c r="A72" s="583" t="s">
        <v>186</v>
      </c>
      <c r="B72" s="583"/>
      <c r="C72" s="232"/>
      <c r="D72" s="260"/>
      <c r="E72" s="261"/>
      <c r="F72" s="259">
        <f>+SUM(F16:F34,F40:F57,F60,F64)/เป้าหมาย!$B$49</f>
        <v>7.4887499999999996</v>
      </c>
      <c r="G72" s="233"/>
      <c r="H72" s="233"/>
    </row>
    <row r="73" spans="1:8" ht="30.75" hidden="1">
      <c r="A73" s="223"/>
      <c r="B73" s="95" t="s">
        <v>161</v>
      </c>
      <c r="F73" s="90" t="e">
        <f>+SUM(F16,#REF!,F21,#REF!,#REF!,#REF!,#REF!,F26,#REF!,#REF!,#REF!,#REF!,#REF!,#REF!,#REF!,#REF!,#REF!,#REF!,#REF!,#REF!,#REF!,#REF!,#REF!,#REF!,#REF!,#REF!,#REF!)</f>
        <v>#REF!</v>
      </c>
    </row>
    <row r="74" spans="1:8" hidden="1">
      <c r="B74" s="95" t="s">
        <v>162</v>
      </c>
      <c r="F74" s="90" t="e">
        <f>+SUM(#REF!,#REF!,#REF!,#REF!,#REF!,#REF!,#REF!,F40,F42,F44,F46,F50,F60,F64)</f>
        <v>#REF!</v>
      </c>
    </row>
  </sheetData>
  <mergeCells count="55">
    <mergeCell ref="A68:B68"/>
    <mergeCell ref="A69:B69"/>
    <mergeCell ref="A70:B70"/>
    <mergeCell ref="A71:B71"/>
    <mergeCell ref="A72:B72"/>
    <mergeCell ref="A67:B67"/>
    <mergeCell ref="F53:F54"/>
    <mergeCell ref="G53:G54"/>
    <mergeCell ref="A59:B59"/>
    <mergeCell ref="B60:B61"/>
    <mergeCell ref="D60:E60"/>
    <mergeCell ref="D61:E61"/>
    <mergeCell ref="A63:B63"/>
    <mergeCell ref="B64:B65"/>
    <mergeCell ref="D64:E64"/>
    <mergeCell ref="D65:E65"/>
    <mergeCell ref="A66:B66"/>
    <mergeCell ref="D50:E50"/>
    <mergeCell ref="B51:B52"/>
    <mergeCell ref="D51:E51"/>
    <mergeCell ref="D52:E52"/>
    <mergeCell ref="B53:B54"/>
    <mergeCell ref="C53:C54"/>
    <mergeCell ref="D53:E54"/>
    <mergeCell ref="D49:E49"/>
    <mergeCell ref="A39:B39"/>
    <mergeCell ref="B40:B41"/>
    <mergeCell ref="D40:E40"/>
    <mergeCell ref="D41:E41"/>
    <mergeCell ref="B42:B43"/>
    <mergeCell ref="D42:E42"/>
    <mergeCell ref="D43:E43"/>
    <mergeCell ref="B44:B45"/>
    <mergeCell ref="D44:E44"/>
    <mergeCell ref="D45:E45"/>
    <mergeCell ref="D46:E46"/>
    <mergeCell ref="D47:E47"/>
    <mergeCell ref="A38:B38"/>
    <mergeCell ref="H8:H11"/>
    <mergeCell ref="D9:F9"/>
    <mergeCell ref="F10:F11"/>
    <mergeCell ref="A13:B13"/>
    <mergeCell ref="A14:B14"/>
    <mergeCell ref="A15:B15"/>
    <mergeCell ref="G8:G11"/>
    <mergeCell ref="D16:E16"/>
    <mergeCell ref="D17:E17"/>
    <mergeCell ref="D19:E19"/>
    <mergeCell ref="A36:B36"/>
    <mergeCell ref="A37:B37"/>
    <mergeCell ref="A7:F7"/>
    <mergeCell ref="A8:A11"/>
    <mergeCell ref="B8:B11"/>
    <mergeCell ref="C8:C11"/>
    <mergeCell ref="D8:F8"/>
  </mergeCells>
  <conditionalFormatting sqref="A63 A59 A30"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3:IV15 C13:E15 A13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9:IV59 H30:IV30 H63:IV63 H13:IV15 C59:E59 A59 A63 A30 C13:E15 C63:E63 A13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6:G53 G55:G64 G16:H34 H36:H64">
    <cfRule type="cellIs" dxfId="35" priority="11" stopIfTrue="1" operator="equal">
      <formula>"X"</formula>
    </cfRule>
  </conditionalFormatting>
  <conditionalFormatting sqref="C39:E39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33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3:IV33 A33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6:G39">
    <cfRule type="cellIs" dxfId="34" priority="8" stopIfTrue="1" operator="equal">
      <formula>"X"</formula>
    </cfRule>
  </conditionalFormatting>
  <conditionalFormatting sqref="C38:E39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:E37 A36:A37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:E37 A36:A37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H39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H37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H37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4"/>
  <sheetViews>
    <sheetView workbookViewId="0">
      <selection activeCell="B19" sqref="B19"/>
    </sheetView>
  </sheetViews>
  <sheetFormatPr defaultRowHeight="27.75"/>
  <cols>
    <col min="1" max="1" width="2.875" style="86" customWidth="1"/>
    <col min="2" max="2" width="36.125" style="95" customWidth="1"/>
    <col min="3" max="3" width="10.625" style="85" customWidth="1"/>
    <col min="4" max="4" width="9.25" style="85" customWidth="1"/>
    <col min="5" max="5" width="11.25" style="221" customWidth="1"/>
    <col min="6" max="6" width="9.25" style="91" customWidth="1"/>
    <col min="7" max="7" width="9.875" style="221" customWidth="1"/>
    <col min="8" max="8" width="26.5" style="221" customWidth="1"/>
    <col min="9" max="16384" width="9" style="82"/>
  </cols>
  <sheetData>
    <row r="1" spans="1:8" ht="29.25" customHeight="1">
      <c r="A1" s="80"/>
      <c r="B1" s="264" t="s">
        <v>166</v>
      </c>
      <c r="C1" s="81"/>
      <c r="D1" s="81"/>
      <c r="E1" s="81"/>
      <c r="F1" s="213"/>
      <c r="G1" s="213"/>
      <c r="H1" s="213"/>
    </row>
    <row r="2" spans="1:8" hidden="1">
      <c r="A2" s="83"/>
      <c r="B2" s="84" t="s">
        <v>96</v>
      </c>
      <c r="C2" s="85">
        <f>ข้อมูลฐาน!B2</f>
        <v>0</v>
      </c>
      <c r="D2" s="378"/>
      <c r="E2" s="378"/>
      <c r="F2" s="378"/>
      <c r="G2" s="378"/>
      <c r="H2" s="378"/>
    </row>
    <row r="3" spans="1:8" hidden="1">
      <c r="A3" s="84"/>
      <c r="B3" s="86" t="s">
        <v>154</v>
      </c>
      <c r="C3" s="86" t="s">
        <v>155</v>
      </c>
      <c r="D3" s="378"/>
      <c r="E3" s="378"/>
      <c r="F3" s="378"/>
      <c r="G3" s="378"/>
      <c r="H3" s="378"/>
    </row>
    <row r="4" spans="1:8" hidden="1">
      <c r="A4" s="378"/>
      <c r="B4" s="86" t="s">
        <v>156</v>
      </c>
      <c r="C4" s="86" t="s">
        <v>157</v>
      </c>
      <c r="D4" s="378"/>
      <c r="E4" s="378"/>
      <c r="F4" s="378"/>
      <c r="G4" s="378"/>
      <c r="H4" s="378"/>
    </row>
    <row r="5" spans="1:8" hidden="1">
      <c r="A5" s="378"/>
      <c r="B5" s="82"/>
      <c r="C5" s="86" t="s">
        <v>158</v>
      </c>
      <c r="D5" s="378"/>
      <c r="E5" s="378"/>
      <c r="F5" s="378"/>
      <c r="G5" s="378"/>
      <c r="H5" s="378"/>
    </row>
    <row r="6" spans="1:8" hidden="1">
      <c r="A6" s="378"/>
      <c r="B6" s="86" t="s">
        <v>159</v>
      </c>
      <c r="C6" s="378"/>
      <c r="D6" s="378"/>
      <c r="E6" s="378"/>
      <c r="F6" s="378"/>
      <c r="G6" s="378"/>
      <c r="H6" s="378"/>
    </row>
    <row r="7" spans="1:8" hidden="1">
      <c r="A7" s="564"/>
      <c r="B7" s="564"/>
      <c r="C7" s="564"/>
      <c r="D7" s="564"/>
      <c r="E7" s="564"/>
      <c r="F7" s="564"/>
      <c r="G7" s="378"/>
      <c r="H7" s="378"/>
    </row>
    <row r="8" spans="1:8" ht="21.75" customHeight="1">
      <c r="A8" s="576"/>
      <c r="B8" s="565" t="s">
        <v>111</v>
      </c>
      <c r="C8" s="570" t="s">
        <v>70</v>
      </c>
      <c r="D8" s="573">
        <f>ข้อมูลฐาน!D3</f>
        <v>0</v>
      </c>
      <c r="E8" s="574"/>
      <c r="F8" s="575"/>
      <c r="G8" s="551" t="s">
        <v>21</v>
      </c>
      <c r="H8" s="548" t="s">
        <v>183</v>
      </c>
    </row>
    <row r="9" spans="1:8" ht="23.25" customHeight="1">
      <c r="A9" s="577"/>
      <c r="B9" s="566"/>
      <c r="C9" s="571"/>
      <c r="D9" s="580">
        <f>C2</f>
        <v>0</v>
      </c>
      <c r="E9" s="581"/>
      <c r="F9" s="582"/>
      <c r="G9" s="552"/>
      <c r="H9" s="549"/>
    </row>
    <row r="10" spans="1:8" ht="17.25" customHeight="1">
      <c r="A10" s="577"/>
      <c r="B10" s="566"/>
      <c r="C10" s="571"/>
      <c r="D10" s="285" t="s">
        <v>103</v>
      </c>
      <c r="E10" s="285" t="s">
        <v>105</v>
      </c>
      <c r="F10" s="568" t="s">
        <v>150</v>
      </c>
      <c r="G10" s="552"/>
      <c r="H10" s="549"/>
    </row>
    <row r="11" spans="1:8" s="87" customFormat="1" ht="16.5" customHeight="1">
      <c r="A11" s="578"/>
      <c r="B11" s="567"/>
      <c r="C11" s="572"/>
      <c r="D11" s="286" t="s">
        <v>104</v>
      </c>
      <c r="E11" s="287" t="s">
        <v>106</v>
      </c>
      <c r="F11" s="569"/>
      <c r="G11" s="553"/>
      <c r="H11" s="550"/>
    </row>
    <row r="12" spans="1:8" s="88" customFormat="1">
      <c r="A12" s="305" t="str">
        <f>+ข้อมูลฐาน!A5</f>
        <v>องค์ประกอบที่  1  ปรัชญา ปณิธาน วัตถุประสงค์ และแผนดำเนินการ</v>
      </c>
      <c r="B12" s="306"/>
      <c r="C12" s="145"/>
      <c r="D12" s="145"/>
      <c r="E12" s="219"/>
      <c r="F12" s="219"/>
      <c r="G12" s="219"/>
      <c r="H12" s="219"/>
    </row>
    <row r="13" spans="1:8" s="85" customFormat="1" ht="33">
      <c r="A13" s="579" t="s">
        <v>93</v>
      </c>
      <c r="B13" s="579"/>
      <c r="C13" s="265"/>
      <c r="D13" s="266"/>
      <c r="E13" s="267"/>
      <c r="F13" s="268" t="e">
        <f>F16/เป้าหมาย!#REF!</f>
        <v>#REF!</v>
      </c>
      <c r="G13" s="149"/>
      <c r="H13" s="149"/>
    </row>
    <row r="14" spans="1:8" s="85" customFormat="1" ht="33">
      <c r="A14" s="534" t="s">
        <v>197</v>
      </c>
      <c r="B14" s="535"/>
      <c r="C14" s="265"/>
      <c r="D14" s="266"/>
      <c r="E14" s="267"/>
      <c r="F14" s="268">
        <f>+SUM(F19,F21,F24)/3</f>
        <v>4.666666666666667</v>
      </c>
      <c r="G14" s="149"/>
      <c r="H14" s="149"/>
    </row>
    <row r="15" spans="1:8" s="85" customFormat="1" ht="33">
      <c r="A15" s="534" t="s">
        <v>198</v>
      </c>
      <c r="B15" s="535"/>
      <c r="C15" s="265"/>
      <c r="D15" s="266"/>
      <c r="E15" s="267"/>
      <c r="F15" s="268">
        <f>+SUM(F16,F19,F21,F24)/4</f>
        <v>4.5</v>
      </c>
      <c r="G15" s="149"/>
      <c r="H15" s="149"/>
    </row>
    <row r="16" spans="1:8" ht="26.25" customHeight="1">
      <c r="A16" s="154"/>
      <c r="B16" s="376" t="s">
        <v>72</v>
      </c>
      <c r="C16" s="377">
        <f>เป้าหมาย!C6</f>
        <v>0</v>
      </c>
      <c r="D16" s="546">
        <f>+ข้อมูลฐาน!D6</f>
        <v>7</v>
      </c>
      <c r="E16" s="546"/>
      <c r="F16" s="377">
        <f>IF(D16&lt;1,0,IF(D16&lt;2,1,IF(D16&lt;4,2,IF(D16&lt;6,3,IF(D16&lt;8,4,IF(D16=8,5))))))</f>
        <v>4</v>
      </c>
      <c r="G16" s="379" t="str">
        <f>IF(D16&gt;=C16,"/",IF(D16&lt;C16,"X"))</f>
        <v>/</v>
      </c>
      <c r="H16" s="379"/>
    </row>
    <row r="17" spans="1:8" ht="26.25" customHeight="1">
      <c r="A17" s="153"/>
      <c r="B17" s="151"/>
      <c r="C17" s="382"/>
      <c r="D17" s="540" t="s">
        <v>203</v>
      </c>
      <c r="E17" s="541"/>
      <c r="F17" s="382"/>
      <c r="G17" s="155"/>
      <c r="H17" s="155"/>
    </row>
    <row r="18" spans="1:8" ht="33">
      <c r="A18" s="216"/>
      <c r="B18" s="152" t="str">
        <f>+เป้าหมาย!A7</f>
        <v>ตัวบ่งชี้ที่ 1.2 ตัวบ่งชี้อัตลักษณ์ (สนอ.)</v>
      </c>
      <c r="C18" s="271"/>
      <c r="D18" s="272"/>
      <c r="E18" s="273"/>
      <c r="F18" s="271"/>
      <c r="G18" s="89"/>
      <c r="H18" s="89"/>
    </row>
    <row r="19" spans="1:8" ht="72">
      <c r="A19" s="239"/>
      <c r="B19" s="311" t="str">
        <f>+เป้าหมาย!A8</f>
        <v>ตัวบ่งชี้ที่ 1.2.1  ระดับความพึงพอใจของผู้รับบริการต่อการให้บริการของสำนักงานอธิการบดี</v>
      </c>
      <c r="C19" s="336"/>
      <c r="D19" s="554">
        <f>ข้อมูลฐาน!D17</f>
        <v>3.9180000000000001</v>
      </c>
      <c r="E19" s="555"/>
      <c r="F19" s="314">
        <f>IF(D19&lt;1.51,1,IF(D19&lt;2.51,2,IF(D19&lt;3.51,3,IF(D19&lt;4.51,4,IF(D19&gt;=4.51,5,)))))</f>
        <v>4</v>
      </c>
      <c r="G19" s="211" t="str">
        <f>IF(D19&gt;=C19,"/",IF(#REF!&lt;C19,"X"))</f>
        <v>/</v>
      </c>
      <c r="H19" s="379"/>
    </row>
    <row r="20" spans="1:8" ht="48.75" customHeight="1">
      <c r="A20" s="239"/>
      <c r="B20" s="304" t="str">
        <f>+เป้าหมาย!A9</f>
        <v>ตัวบ่งชี้ที่ 1.2.2 ร้อยละเฉลี่ยของบุคลากรที่เข้าร่วมกิจกรรมสาธารณประโยชน์ที่สำนักงานอธิการบดีจัดขึ้น</v>
      </c>
      <c r="C20" s="336"/>
      <c r="D20" s="301"/>
      <c r="E20" s="307"/>
      <c r="F20" s="274"/>
      <c r="G20" s="379"/>
      <c r="H20" s="379"/>
    </row>
    <row r="21" spans="1:8" ht="27" customHeight="1">
      <c r="A21" s="240" t="s">
        <v>182</v>
      </c>
      <c r="B21" s="332" t="str">
        <f>+ข้อมูลฐาน!B21</f>
        <v>บุคลากรที่เข้าร่วมกิจกรรมสาธารณประโยชน์</v>
      </c>
      <c r="C21" s="282">
        <f>+เป้าหมาย!C9</f>
        <v>0</v>
      </c>
      <c r="D21" s="276">
        <f>+ข้อมูลฐาน!D21</f>
        <v>225</v>
      </c>
      <c r="E21" s="302">
        <f>+D21*100/D22</f>
        <v>82.116788321167888</v>
      </c>
      <c r="F21" s="356">
        <f>+IF(E21&lt;80,E21*5/80,IF(E21&gt;=80,5))</f>
        <v>5</v>
      </c>
      <c r="G21" s="211" t="str">
        <f>IF(E21&gt;=C21,"/",IF(D21&lt;C21,"X"))</f>
        <v>/</v>
      </c>
      <c r="H21" s="211"/>
    </row>
    <row r="22" spans="1:8" ht="27" customHeight="1">
      <c r="A22" s="241" t="s">
        <v>182</v>
      </c>
      <c r="B22" s="333" t="str">
        <f>+ข้อมูลฐาน!B22</f>
        <v>บุคลากรทั้งหมด</v>
      </c>
      <c r="C22" s="382"/>
      <c r="D22" s="303">
        <f>+ข้อมูลฐาน!D22</f>
        <v>274</v>
      </c>
      <c r="E22" s="315"/>
      <c r="F22" s="315"/>
      <c r="G22" s="380"/>
      <c r="H22" s="211"/>
    </row>
    <row r="23" spans="1:8" ht="72">
      <c r="A23" s="239"/>
      <c r="B23" s="311" t="str">
        <f>+เป้าหมาย!A10</f>
        <v>ตัวบ่งชี้ที่ 1.2.3 จำนวนหน่วยงานของสำนักงานอธิการบดีที่ได้มีการแลกเปลี่ยนเรียนรู้ร่วมกับหน่วยงานอื่น</v>
      </c>
      <c r="C23" s="336"/>
      <c r="D23" s="301"/>
      <c r="E23" s="307"/>
      <c r="F23" s="274"/>
      <c r="G23" s="379"/>
      <c r="H23" s="379"/>
    </row>
    <row r="24" spans="1:8" ht="39.75">
      <c r="A24" s="240" t="s">
        <v>182</v>
      </c>
      <c r="B24" s="355" t="str">
        <f>+ข้อมูลฐาน!B25</f>
        <v>จำนวนหน่วยงานใน สนอ.ที่เข้าร่วมแลกเปลี่ยนเรียนรู้ฯ</v>
      </c>
      <c r="C24" s="282">
        <f>+เป้าหมาย!C10</f>
        <v>0</v>
      </c>
      <c r="D24" s="276">
        <f>+ข้อมูลฐาน!D25</f>
        <v>13</v>
      </c>
      <c r="E24" s="302">
        <f>+D24*100/D25</f>
        <v>86.666666666666671</v>
      </c>
      <c r="F24" s="356">
        <f>+IF(E24&lt;80,E24*5/80,IF(E24&gt;=80,5))</f>
        <v>5</v>
      </c>
      <c r="G24" s="211" t="str">
        <f>IF(E24&gt;=C24,"/",IF(D24&lt;C24,"X"))</f>
        <v>/</v>
      </c>
      <c r="H24" s="211"/>
    </row>
    <row r="25" spans="1:8" ht="39.75">
      <c r="A25" s="241" t="s">
        <v>182</v>
      </c>
      <c r="B25" s="355" t="str">
        <f>+ข้อมูลฐาน!B26</f>
        <v>จำนวนหน่วยงานทั้งหมด</v>
      </c>
      <c r="C25" s="382"/>
      <c r="D25" s="303">
        <f>+ข้อมูลฐาน!D26</f>
        <v>15</v>
      </c>
      <c r="E25" s="315"/>
      <c r="F25" s="315"/>
      <c r="G25" s="380"/>
      <c r="H25" s="211"/>
    </row>
    <row r="26" spans="1:8" ht="39.75" hidden="1">
      <c r="A26" s="154"/>
      <c r="B26" s="313"/>
      <c r="C26" s="336"/>
      <c r="D26" s="301"/>
      <c r="E26" s="307"/>
      <c r="F26" s="274"/>
      <c r="G26" s="379"/>
      <c r="H26" s="379"/>
    </row>
    <row r="27" spans="1:8" ht="31.5" hidden="1" customHeight="1">
      <c r="A27" s="220"/>
      <c r="B27" s="334"/>
      <c r="C27" s="282"/>
      <c r="D27" s="337"/>
      <c r="E27" s="338"/>
      <c r="F27" s="314"/>
      <c r="G27" s="211"/>
      <c r="H27" s="211"/>
    </row>
    <row r="28" spans="1:8" ht="27.75" hidden="1" customHeight="1">
      <c r="A28" s="153"/>
      <c r="B28" s="335"/>
      <c r="C28" s="382"/>
      <c r="D28" s="303"/>
      <c r="E28" s="315"/>
      <c r="F28" s="314"/>
      <c r="G28" s="211"/>
      <c r="H28" s="155"/>
    </row>
    <row r="29" spans="1:8" ht="39.75" hidden="1">
      <c r="A29" s="154"/>
      <c r="B29" s="313"/>
      <c r="C29" s="336"/>
      <c r="D29" s="301"/>
      <c r="E29" s="307"/>
      <c r="F29" s="274"/>
      <c r="G29" s="379"/>
      <c r="H29" s="379"/>
    </row>
    <row r="30" spans="1:8" ht="39.75" hidden="1">
      <c r="A30" s="220"/>
      <c r="B30" s="334"/>
      <c r="C30" s="282"/>
      <c r="D30" s="277"/>
      <c r="E30" s="302"/>
      <c r="F30" s="314"/>
      <c r="G30" s="211"/>
      <c r="H30" s="211"/>
    </row>
    <row r="31" spans="1:8" ht="7.5" hidden="1" customHeight="1">
      <c r="A31" s="153"/>
      <c r="B31" s="335"/>
      <c r="C31" s="382"/>
      <c r="D31" s="303"/>
      <c r="E31" s="315"/>
      <c r="F31" s="314"/>
      <c r="G31" s="211"/>
      <c r="H31" s="155"/>
    </row>
    <row r="32" spans="1:8" ht="39.75" hidden="1">
      <c r="A32" s="154"/>
      <c r="B32" s="313"/>
      <c r="C32" s="336"/>
      <c r="D32" s="301"/>
      <c r="E32" s="307"/>
      <c r="F32" s="274"/>
      <c r="G32" s="379"/>
      <c r="H32" s="379"/>
    </row>
    <row r="33" spans="1:8" ht="31.5" hidden="1" customHeight="1">
      <c r="A33" s="220"/>
      <c r="B33" s="334"/>
      <c r="C33" s="282"/>
      <c r="D33" s="276"/>
      <c r="E33" s="302"/>
      <c r="F33" s="314"/>
      <c r="G33" s="211"/>
      <c r="H33" s="211"/>
    </row>
    <row r="34" spans="1:8" ht="27.75" hidden="1" customHeight="1">
      <c r="A34" s="153"/>
      <c r="B34" s="334"/>
      <c r="C34" s="382"/>
      <c r="D34" s="303"/>
      <c r="E34" s="315"/>
      <c r="F34" s="314"/>
      <c r="G34" s="211"/>
      <c r="H34" s="155"/>
    </row>
    <row r="35" spans="1:8" ht="27.75" customHeight="1">
      <c r="A35" s="305" t="str">
        <f>+เป้าหมาย!A22</f>
        <v>องค์ประกอบที่ 7  การบริหารและการจัดการ</v>
      </c>
      <c r="B35" s="306"/>
      <c r="C35" s="145"/>
      <c r="D35" s="145"/>
      <c r="E35" s="219"/>
      <c r="F35" s="219"/>
      <c r="G35" s="219"/>
      <c r="H35" s="219"/>
    </row>
    <row r="36" spans="1:8" ht="27.75" customHeight="1">
      <c r="A36" s="533" t="s">
        <v>93</v>
      </c>
      <c r="B36" s="533"/>
      <c r="C36" s="359"/>
      <c r="D36" s="360"/>
      <c r="E36" s="361"/>
      <c r="F36" s="362">
        <f>+SUM(F42,F40,F44,F46)/4</f>
        <v>4.5</v>
      </c>
      <c r="G36" s="149"/>
      <c r="H36" s="265"/>
    </row>
    <row r="37" spans="1:8" ht="27.75" customHeight="1">
      <c r="A37" s="533" t="s">
        <v>94</v>
      </c>
      <c r="B37" s="533"/>
      <c r="C37" s="359"/>
      <c r="D37" s="360"/>
      <c r="E37" s="361"/>
      <c r="F37" s="362">
        <f>+F50</f>
        <v>3.91</v>
      </c>
      <c r="G37" s="149"/>
      <c r="H37" s="265"/>
    </row>
    <row r="38" spans="1:8" ht="27.75" customHeight="1">
      <c r="A38" s="534" t="s">
        <v>197</v>
      </c>
      <c r="B38" s="535"/>
      <c r="C38" s="359"/>
      <c r="D38" s="360"/>
      <c r="E38" s="361"/>
      <c r="F38" s="362">
        <f>SUM(F51:F57)/3</f>
        <v>4.666666666666667</v>
      </c>
      <c r="G38" s="149"/>
      <c r="H38" s="265"/>
    </row>
    <row r="39" spans="1:8" s="85" customFormat="1" ht="33" customHeight="1">
      <c r="A39" s="534" t="s">
        <v>198</v>
      </c>
      <c r="B39" s="535"/>
      <c r="C39" s="363"/>
      <c r="D39" s="364"/>
      <c r="E39" s="365"/>
      <c r="F39" s="366">
        <f>+SUM(F40:F57)/8</f>
        <v>4.4887499999999996</v>
      </c>
      <c r="G39" s="358"/>
      <c r="H39" s="357"/>
    </row>
    <row r="40" spans="1:8" ht="39.75">
      <c r="A40" s="154"/>
      <c r="B40" s="536" t="s">
        <v>73</v>
      </c>
      <c r="C40" s="377">
        <f>เป้าหมาย!C23</f>
        <v>0</v>
      </c>
      <c r="D40" s="546">
        <f>ข้อมูลฐาน!D78</f>
        <v>5</v>
      </c>
      <c r="E40" s="546"/>
      <c r="F40" s="284">
        <f>IF(D40&lt;1,0,IF(D40&lt;2,1,IF(D40&lt;4,2,IF(D40&lt;6,3,IF(D40=6,4,IF(D40=7,5,))))))</f>
        <v>3</v>
      </c>
      <c r="G40" s="379" t="str">
        <f>IF(D40&gt;=C40,"/",IF(D40&lt;C40,"X"))</f>
        <v>/</v>
      </c>
      <c r="H40" s="379"/>
    </row>
    <row r="41" spans="1:8" s="83" customFormat="1" ht="33" customHeight="1">
      <c r="A41" s="220"/>
      <c r="B41" s="537"/>
      <c r="C41" s="282"/>
      <c r="D41" s="540" t="s">
        <v>200</v>
      </c>
      <c r="E41" s="541"/>
      <c r="F41" s="314"/>
      <c r="G41" s="215"/>
      <c r="H41" s="215"/>
    </row>
    <row r="42" spans="1:8" ht="39.75">
      <c r="A42" s="154"/>
      <c r="B42" s="536" t="s">
        <v>65</v>
      </c>
      <c r="C42" s="377">
        <f>เป้าหมาย!C24</f>
        <v>0</v>
      </c>
      <c r="D42" s="546">
        <f>ข้อมูลฐาน!D87</f>
        <v>5</v>
      </c>
      <c r="E42" s="546"/>
      <c r="F42" s="284">
        <f>IF(D42&lt;1,0,IF(D42&lt;2,1,IF(D42&lt;3,2,IF(D42&lt;4,3,IF(D42&lt;5,4,IF(D42=5,5))))))</f>
        <v>5</v>
      </c>
      <c r="G42" s="379" t="str">
        <f>IF(D42&gt;=C42,"/",IF(D42&lt;C42,"X"))</f>
        <v>/</v>
      </c>
      <c r="H42" s="379"/>
    </row>
    <row r="43" spans="1:8" s="83" customFormat="1" ht="33">
      <c r="A43" s="153"/>
      <c r="B43" s="537"/>
      <c r="C43" s="382"/>
      <c r="D43" s="588"/>
      <c r="E43" s="589"/>
      <c r="F43" s="315"/>
      <c r="G43" s="155"/>
      <c r="H43" s="155"/>
    </row>
    <row r="44" spans="1:8" ht="39.75">
      <c r="A44" s="154"/>
      <c r="B44" s="536" t="s">
        <v>66</v>
      </c>
      <c r="C44" s="377">
        <f>เป้าหมาย!C25</f>
        <v>0</v>
      </c>
      <c r="D44" s="546">
        <f>ข้อมูลฐาน!D94</f>
        <v>5</v>
      </c>
      <c r="E44" s="546"/>
      <c r="F44" s="284">
        <f>IF(D44&lt;1,0,IF(D44&lt;2,1,IF(D44&lt;3,2,IF(D44&lt;4,3,IF(D44=4,4,IF(D44=5,5,))))))</f>
        <v>5</v>
      </c>
      <c r="G44" s="379" t="str">
        <f>IF(D44&gt;=C44,"/",IF(D44&lt;C44,"X"))</f>
        <v>/</v>
      </c>
      <c r="H44" s="379"/>
    </row>
    <row r="45" spans="1:8" s="83" customFormat="1" ht="33">
      <c r="A45" s="153"/>
      <c r="B45" s="537"/>
      <c r="C45" s="382"/>
      <c r="D45" s="540" t="s">
        <v>201</v>
      </c>
      <c r="E45" s="541"/>
      <c r="F45" s="315"/>
      <c r="G45" s="155"/>
      <c r="H45" s="155"/>
    </row>
    <row r="46" spans="1:8" ht="33.75" customHeight="1">
      <c r="A46" s="154"/>
      <c r="B46" s="376" t="s">
        <v>67</v>
      </c>
      <c r="C46" s="377">
        <f>เป้าหมาย!C26</f>
        <v>0</v>
      </c>
      <c r="D46" s="546">
        <f>ข้อมูลฐาน!D101</f>
        <v>6</v>
      </c>
      <c r="E46" s="546"/>
      <c r="F46" s="284">
        <f>IF(D46&lt;1,0,IF(D46&lt;2,1,IF(D46&lt;3,2,IF(D46&lt;5,3,IF(D46=5,4,IF(D46&gt;=6,5,))))))</f>
        <v>5</v>
      </c>
      <c r="G46" s="379" t="str">
        <f>IF(D46&gt;=C46,"/",IF(D46&lt;C46,"X"))</f>
        <v>/</v>
      </c>
      <c r="H46" s="379"/>
    </row>
    <row r="47" spans="1:8" s="83" customFormat="1" ht="24.75" customHeight="1">
      <c r="A47" s="153"/>
      <c r="B47" s="151"/>
      <c r="C47" s="382"/>
      <c r="D47" s="540"/>
      <c r="E47" s="541"/>
      <c r="F47" s="382"/>
      <c r="G47" s="155"/>
      <c r="H47" s="155"/>
    </row>
    <row r="48" spans="1:8" ht="33">
      <c r="A48" s="216"/>
      <c r="B48" s="152" t="s">
        <v>152</v>
      </c>
      <c r="C48" s="271"/>
      <c r="D48" s="272"/>
      <c r="E48" s="273"/>
      <c r="F48" s="271"/>
      <c r="G48" s="89"/>
      <c r="H48" s="89"/>
    </row>
    <row r="49" spans="1:8" ht="165" hidden="1" customHeight="1">
      <c r="A49" s="216"/>
      <c r="B49" s="150" t="s">
        <v>74</v>
      </c>
      <c r="C49" s="271"/>
      <c r="D49" s="584" t="str">
        <f>ข้อมูลฐาน!D116</f>
        <v>ไม่ประเมินระดับคณะ</v>
      </c>
      <c r="E49" s="585"/>
      <c r="F49" s="281">
        <v>0</v>
      </c>
      <c r="G49" s="89"/>
      <c r="H49" s="89"/>
    </row>
    <row r="50" spans="1:8" ht="48">
      <c r="A50" s="216"/>
      <c r="B50" s="150" t="s">
        <v>75</v>
      </c>
      <c r="C50" s="271">
        <f>เป้าหมาย!C27</f>
        <v>0</v>
      </c>
      <c r="D50" s="586">
        <f>+ข้อมูลฐาน!D122</f>
        <v>3.91</v>
      </c>
      <c r="E50" s="587"/>
      <c r="F50" s="271">
        <f>D50</f>
        <v>3.91</v>
      </c>
      <c r="G50" s="379" t="str">
        <f>IF(D50&gt;=C50,"/",IF(D50&lt;C50,"X"))</f>
        <v>/</v>
      </c>
      <c r="H50" s="379"/>
    </row>
    <row r="51" spans="1:8" ht="33.75" customHeight="1">
      <c r="A51" s="154"/>
      <c r="B51" s="536" t="str">
        <f>+ข้อมูลฐาน!B125</f>
        <v>ตัวบ่งชี้ 7.6.1 ระบบพัฒนาบุคลากร</v>
      </c>
      <c r="C51" s="377">
        <f>+เป้าหมาย!C29</f>
        <v>0</v>
      </c>
      <c r="D51" s="546">
        <f>+ข้อมูลฐาน!D125</f>
        <v>7</v>
      </c>
      <c r="E51" s="546"/>
      <c r="F51" s="381">
        <f>IF(D51&lt;1,0,IF(D51&lt;2,1,IF(D51&lt;3,2,IF(D51&lt;5,3,IF(D51&lt;7,4,IF(D51=7,5))))))</f>
        <v>5</v>
      </c>
      <c r="G51" s="379" t="str">
        <f>IF(D51&gt;=C51,"/",IF(D51&lt;C51,"X"))</f>
        <v>/</v>
      </c>
      <c r="H51" s="379"/>
    </row>
    <row r="52" spans="1:8" s="83" customFormat="1" ht="23.25" customHeight="1">
      <c r="A52" s="153"/>
      <c r="B52" s="537"/>
      <c r="C52" s="382"/>
      <c r="D52" s="540"/>
      <c r="E52" s="541"/>
      <c r="F52" s="382"/>
      <c r="G52" s="155"/>
      <c r="H52" s="155"/>
    </row>
    <row r="53" spans="1:8" s="83" customFormat="1" ht="23.25" customHeight="1">
      <c r="A53" s="154"/>
      <c r="B53" s="536" t="str">
        <f>+เป้าหมาย!A30</f>
        <v>ตัวบ่งชี้ 7.6.2 ระดับความพึงพอใจของบุคลากรทุกระดับต่อกระบวนการพัฒนาความรู้และทักษะของสำนักงานอธิการบดี</v>
      </c>
      <c r="C53" s="546">
        <f>+เป้าหมาย!C30</f>
        <v>0</v>
      </c>
      <c r="D53" s="538">
        <f>+ข้อมูลฐาน!D134</f>
        <v>4.24</v>
      </c>
      <c r="E53" s="539"/>
      <c r="F53" s="544">
        <f>IF(D53&lt;1.51,1,IF(D53&lt;2.51,2,IF(D53&lt;3.51,3,IF(D53&lt;4.51,4,IF(D53&gt;=4.51,5,)))))</f>
        <v>4</v>
      </c>
      <c r="G53" s="542" t="str">
        <f>IF(D53&gt;=C53,"/",IF(D53&lt;C53,"X"))</f>
        <v>/</v>
      </c>
      <c r="H53" s="379"/>
    </row>
    <row r="54" spans="1:8" s="83" customFormat="1" ht="48.75" customHeight="1">
      <c r="A54" s="153"/>
      <c r="B54" s="537"/>
      <c r="C54" s="547"/>
      <c r="D54" s="540"/>
      <c r="E54" s="541"/>
      <c r="F54" s="545"/>
      <c r="G54" s="543"/>
      <c r="H54" s="155"/>
    </row>
    <row r="55" spans="1:8" ht="48.75" customHeight="1">
      <c r="A55" s="239"/>
      <c r="B55" s="304" t="str">
        <f>+เป้าหมาย!A31</f>
        <v>ตัวบ่งชี้ที่ 7.6.3 ร้อยละของบุคลากรที่ได้รับการพัฒนาความรู้และทักษะ</v>
      </c>
      <c r="C55" s="336"/>
      <c r="D55" s="301"/>
      <c r="E55" s="307"/>
      <c r="F55" s="274"/>
      <c r="G55" s="379"/>
      <c r="H55" s="379"/>
    </row>
    <row r="56" spans="1:8" ht="27" customHeight="1">
      <c r="A56" s="240" t="s">
        <v>182</v>
      </c>
      <c r="B56" s="332" t="str">
        <f>+ข้อมูลฐาน!B138</f>
        <v>บุคลากรที่ได้รับการพัฒนาความรู้และทักษะ</v>
      </c>
      <c r="C56" s="282">
        <f>+เป้าหมาย!C31</f>
        <v>0</v>
      </c>
      <c r="D56" s="276">
        <f>+ข้อมูลฐาน!D138</f>
        <v>232</v>
      </c>
      <c r="E56" s="302">
        <f>+D56*100/D57</f>
        <v>84.671532846715323</v>
      </c>
      <c r="F56" s="356">
        <f>+IF(E56&lt;80,E56*5/80,IF(E56&gt;=80,5))</f>
        <v>5</v>
      </c>
      <c r="G56" s="211" t="str">
        <f>IF(E56&gt;=C56,"/",IF(D56&lt;C56,"X"))</f>
        <v>/</v>
      </c>
      <c r="H56" s="211"/>
    </row>
    <row r="57" spans="1:8" ht="27" customHeight="1">
      <c r="A57" s="241" t="s">
        <v>182</v>
      </c>
      <c r="B57" s="333" t="str">
        <f>+ข้อมูลฐาน!B139</f>
        <v>บุคลากรทั้งหมด</v>
      </c>
      <c r="C57" s="382"/>
      <c r="D57" s="303">
        <f>+ข้อมูลฐาน!D139</f>
        <v>274</v>
      </c>
      <c r="E57" s="315"/>
      <c r="F57" s="315"/>
      <c r="G57" s="380"/>
      <c r="H57" s="211"/>
    </row>
    <row r="58" spans="1:8" s="83" customFormat="1" ht="33">
      <c r="A58" s="262" t="str">
        <f>+ข้อมูลฐาน!A175</f>
        <v>องค์ประกอบที่ 8  การเงินและงบประมาณ</v>
      </c>
      <c r="B58" s="263"/>
      <c r="C58" s="278"/>
      <c r="D58" s="278"/>
      <c r="E58" s="278"/>
      <c r="F58" s="278"/>
      <c r="G58" s="146"/>
      <c r="H58" s="146"/>
    </row>
    <row r="59" spans="1:8" s="85" customFormat="1" ht="33">
      <c r="A59" s="558" t="s">
        <v>93</v>
      </c>
      <c r="B59" s="559"/>
      <c r="C59" s="279"/>
      <c r="D59" s="280"/>
      <c r="E59" s="267"/>
      <c r="F59" s="268">
        <f>SUM(F60)/1</f>
        <v>2</v>
      </c>
      <c r="G59" s="149"/>
      <c r="H59" s="149"/>
    </row>
    <row r="60" spans="1:8" ht="39.75">
      <c r="A60" s="154"/>
      <c r="B60" s="536" t="s">
        <v>68</v>
      </c>
      <c r="C60" s="377">
        <f>เป้าหมาย!C45</f>
        <v>0</v>
      </c>
      <c r="D60" s="546">
        <f>ข้อมูลฐาน!D176</f>
        <v>2</v>
      </c>
      <c r="E60" s="546"/>
      <c r="F60" s="284">
        <f>IF(D60&lt;1,0,IF(D60&lt;2,1,IF(D60&lt;4,2,IF(D60&lt;6,3,IF(D60&lt;7,4,IF(D60=7,5))))))</f>
        <v>2</v>
      </c>
      <c r="G60" s="379" t="str">
        <f>IF(D60&gt;=C60,"/",IF(D60&lt;C60,"X"))</f>
        <v>/</v>
      </c>
      <c r="H60" s="379"/>
    </row>
    <row r="61" spans="1:8" s="83" customFormat="1" ht="33">
      <c r="A61" s="153"/>
      <c r="B61" s="537"/>
      <c r="C61" s="382"/>
      <c r="D61" s="540"/>
      <c r="E61" s="541"/>
      <c r="F61" s="382"/>
      <c r="G61" s="155"/>
      <c r="H61" s="155"/>
    </row>
    <row r="62" spans="1:8" ht="33">
      <c r="A62" s="262" t="str">
        <f>+ข้อมูลฐาน!A185</f>
        <v>องค์ประกอบที่  9  การประกันคุณภาพ</v>
      </c>
      <c r="B62" s="263"/>
      <c r="C62" s="278"/>
      <c r="D62" s="278"/>
      <c r="E62" s="278"/>
      <c r="F62" s="278"/>
      <c r="G62" s="146"/>
      <c r="H62" s="146"/>
    </row>
    <row r="63" spans="1:8" s="85" customFormat="1" ht="33">
      <c r="A63" s="558" t="s">
        <v>93</v>
      </c>
      <c r="B63" s="559"/>
      <c r="C63" s="279"/>
      <c r="D63" s="280"/>
      <c r="E63" s="267"/>
      <c r="F63" s="268">
        <f>SUM(F64)/1</f>
        <v>4</v>
      </c>
      <c r="G63" s="149"/>
      <c r="H63" s="149"/>
    </row>
    <row r="64" spans="1:8" ht="39.75">
      <c r="A64" s="154"/>
      <c r="B64" s="536" t="s">
        <v>69</v>
      </c>
      <c r="C64" s="377">
        <f>เป้าหมาย!C47</f>
        <v>0</v>
      </c>
      <c r="D64" s="546">
        <f>ข้อมูลฐาน!D186</f>
        <v>8</v>
      </c>
      <c r="E64" s="546"/>
      <c r="F64" s="284">
        <f>IF(D64&lt;1,0,IF(D64&lt;2,1,IF(D64&lt;4,2,IF(D64&lt;7,3,IF(D64&lt;9,4,IF(D64=9,5))))))</f>
        <v>4</v>
      </c>
      <c r="G64" s="379" t="str">
        <f>IF(D64&gt;=C64,"/",IF(D64&lt;C64,"X"))</f>
        <v>/</v>
      </c>
      <c r="H64" s="379"/>
    </row>
    <row r="65" spans="1:8" ht="33">
      <c r="A65" s="153"/>
      <c r="B65" s="537"/>
      <c r="C65" s="382"/>
      <c r="D65" s="540" t="s">
        <v>202</v>
      </c>
      <c r="E65" s="541"/>
      <c r="F65" s="382"/>
      <c r="G65" s="155"/>
      <c r="H65" s="155"/>
    </row>
    <row r="66" spans="1:8" s="92" customFormat="1" ht="42.75" customHeight="1">
      <c r="A66" s="557" t="s">
        <v>184</v>
      </c>
      <c r="B66" s="557"/>
      <c r="C66" s="234"/>
      <c r="D66" s="245"/>
      <c r="E66" s="246"/>
      <c r="F66" s="244">
        <f>+SUM(F16,F40,F42,F44,F46,F60,F64)/7</f>
        <v>4</v>
      </c>
      <c r="G66" s="235"/>
      <c r="H66" s="235"/>
    </row>
    <row r="67" spans="1:8" s="93" customFormat="1" ht="65.25" customHeight="1">
      <c r="A67" s="562" t="s">
        <v>185</v>
      </c>
      <c r="B67" s="563"/>
      <c r="C67" s="231"/>
      <c r="D67" s="248"/>
      <c r="E67" s="249"/>
      <c r="F67" s="247">
        <f>+F50</f>
        <v>3.91</v>
      </c>
      <c r="G67" s="218"/>
      <c r="H67" s="218"/>
    </row>
    <row r="68" spans="1:8" s="93" customFormat="1" ht="60" customHeight="1">
      <c r="A68" s="560" t="s">
        <v>199</v>
      </c>
      <c r="B68" s="561"/>
      <c r="C68" s="231"/>
      <c r="D68" s="248"/>
      <c r="E68" s="249"/>
      <c r="F68" s="247">
        <f>SUM(F19,F21,F24,F51,F53,F56)/6</f>
        <v>4.666666666666667</v>
      </c>
      <c r="G68" s="218"/>
      <c r="H68" s="218"/>
    </row>
    <row r="69" spans="1:8" s="94" customFormat="1" ht="39.75" hidden="1">
      <c r="A69" s="556" t="s">
        <v>151</v>
      </c>
      <c r="B69" s="556"/>
      <c r="C69" s="204"/>
      <c r="D69" s="251"/>
      <c r="E69" s="252"/>
      <c r="F69" s="250" t="e">
        <f>SUM(F16:F23,F26:F28,#REF!,#REF!,#REF!,#REF!,F40:F47,F50,F64,F60)/เป้าหมาย!#REF!</f>
        <v>#REF!</v>
      </c>
      <c r="G69" s="222"/>
      <c r="H69" s="222"/>
    </row>
    <row r="70" spans="1:8" ht="39.75" hidden="1">
      <c r="A70" s="591" t="s">
        <v>153</v>
      </c>
      <c r="B70" s="591"/>
      <c r="C70" s="148"/>
      <c r="D70" s="254"/>
      <c r="E70" s="255"/>
      <c r="F70" s="253" t="e">
        <f>SUM(F16:F23,F26:F28,#REF!,#REF!,#REF!,#REF!,F40:F47,F50,F60,F64)/เป้าหมาย!$B$49</f>
        <v>#REF!</v>
      </c>
      <c r="G70" s="147"/>
      <c r="H70" s="147"/>
    </row>
    <row r="71" spans="1:8" s="93" customFormat="1" ht="39.75" hidden="1">
      <c r="A71" s="590" t="s">
        <v>160</v>
      </c>
      <c r="B71" s="590"/>
      <c r="C71" s="242"/>
      <c r="D71" s="257"/>
      <c r="E71" s="258"/>
      <c r="F71" s="256" t="e">
        <f>#REF!</f>
        <v>#REF!</v>
      </c>
      <c r="G71" s="243"/>
      <c r="H71" s="243"/>
    </row>
    <row r="72" spans="1:8" ht="39.75">
      <c r="A72" s="583" t="s">
        <v>186</v>
      </c>
      <c r="B72" s="583"/>
      <c r="C72" s="232"/>
      <c r="D72" s="260"/>
      <c r="E72" s="261"/>
      <c r="F72" s="259">
        <f>+SUM(F16:F34,F40:F57,F60,F64)/เป้าหมาย!$B$49</f>
        <v>7.4887499999999996</v>
      </c>
      <c r="G72" s="233"/>
      <c r="H72" s="233"/>
    </row>
    <row r="73" spans="1:8" ht="30.75" hidden="1">
      <c r="A73" s="223"/>
      <c r="B73" s="95" t="s">
        <v>161</v>
      </c>
      <c r="F73" s="90" t="e">
        <f>+SUM(F16,#REF!,F21,#REF!,#REF!,#REF!,#REF!,F26,#REF!,#REF!,#REF!,#REF!,#REF!,#REF!,#REF!,#REF!,#REF!,#REF!,#REF!,#REF!,#REF!,#REF!,#REF!,#REF!,#REF!,#REF!,#REF!)</f>
        <v>#REF!</v>
      </c>
    </row>
    <row r="74" spans="1:8" hidden="1">
      <c r="B74" s="95" t="s">
        <v>162</v>
      </c>
      <c r="F74" s="90" t="e">
        <f>+SUM(#REF!,#REF!,#REF!,#REF!,#REF!,#REF!,#REF!,F40,F42,F44,F46,F50,F60,F64)</f>
        <v>#REF!</v>
      </c>
    </row>
  </sheetData>
  <mergeCells count="55">
    <mergeCell ref="A68:B68"/>
    <mergeCell ref="A69:B69"/>
    <mergeCell ref="A70:B70"/>
    <mergeCell ref="A71:B71"/>
    <mergeCell ref="A72:B72"/>
    <mergeCell ref="A67:B67"/>
    <mergeCell ref="F53:F54"/>
    <mergeCell ref="G53:G54"/>
    <mergeCell ref="A59:B59"/>
    <mergeCell ref="B60:B61"/>
    <mergeCell ref="D60:E60"/>
    <mergeCell ref="D61:E61"/>
    <mergeCell ref="A63:B63"/>
    <mergeCell ref="B64:B65"/>
    <mergeCell ref="D64:E64"/>
    <mergeCell ref="D65:E65"/>
    <mergeCell ref="A66:B66"/>
    <mergeCell ref="D50:E50"/>
    <mergeCell ref="B51:B52"/>
    <mergeCell ref="D51:E51"/>
    <mergeCell ref="D52:E52"/>
    <mergeCell ref="B53:B54"/>
    <mergeCell ref="C53:C54"/>
    <mergeCell ref="D53:E54"/>
    <mergeCell ref="D49:E49"/>
    <mergeCell ref="A39:B39"/>
    <mergeCell ref="B40:B41"/>
    <mergeCell ref="D40:E40"/>
    <mergeCell ref="D41:E41"/>
    <mergeCell ref="B42:B43"/>
    <mergeCell ref="D42:E42"/>
    <mergeCell ref="D43:E43"/>
    <mergeCell ref="B44:B45"/>
    <mergeCell ref="D44:E44"/>
    <mergeCell ref="D45:E45"/>
    <mergeCell ref="D46:E46"/>
    <mergeCell ref="D47:E47"/>
    <mergeCell ref="A38:B38"/>
    <mergeCell ref="H8:H11"/>
    <mergeCell ref="D9:F9"/>
    <mergeCell ref="F10:F11"/>
    <mergeCell ref="A13:B13"/>
    <mergeCell ref="A14:B14"/>
    <mergeCell ref="A15:B15"/>
    <mergeCell ref="G8:G11"/>
    <mergeCell ref="D16:E16"/>
    <mergeCell ref="D17:E17"/>
    <mergeCell ref="D19:E19"/>
    <mergeCell ref="A36:B36"/>
    <mergeCell ref="A37:B37"/>
    <mergeCell ref="A7:F7"/>
    <mergeCell ref="A8:A11"/>
    <mergeCell ref="B8:B11"/>
    <mergeCell ref="C8:C11"/>
    <mergeCell ref="D8:F8"/>
  </mergeCells>
  <conditionalFormatting sqref="A59 A63 A30"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3:IV15 C13:E15 A13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9:IV59 H30:IV30 H63:IV63 H13:IV15 C59:E59 A59 A63 A30 C13:E15 C63:E63 A13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6:G53 G55:G64 G16:H34 H36:H64">
    <cfRule type="cellIs" dxfId="33" priority="11" stopIfTrue="1" operator="equal">
      <formula>"X"</formula>
    </cfRule>
  </conditionalFormatting>
  <conditionalFormatting sqref="C39:E39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33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3:IV33 A33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6:G39">
    <cfRule type="cellIs" dxfId="32" priority="8" stopIfTrue="1" operator="equal">
      <formula>"X"</formula>
    </cfRule>
  </conditionalFormatting>
  <conditionalFormatting sqref="C38:E39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:E37 A36:A37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:E37 A36:A37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H39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H37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H37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F25"/>
  <sheetViews>
    <sheetView zoomScale="136" zoomScaleNormal="136" workbookViewId="0">
      <selection activeCell="C26" sqref="C26"/>
    </sheetView>
  </sheetViews>
  <sheetFormatPr defaultRowHeight="23.25"/>
  <cols>
    <col min="1" max="1" width="31.375" style="120" customWidth="1"/>
    <col min="2" max="2" width="9.25" style="120" customWidth="1"/>
    <col min="3" max="3" width="9.5" style="120" customWidth="1"/>
    <col min="4" max="4" width="9.125" style="120" customWidth="1"/>
    <col min="5" max="5" width="11.125" style="121" customWidth="1"/>
    <col min="6" max="6" width="23.25" style="122" customWidth="1"/>
    <col min="7" max="16384" width="9" style="96"/>
  </cols>
  <sheetData>
    <row r="1" spans="1:6" ht="27.75">
      <c r="A1" s="594" t="s">
        <v>167</v>
      </c>
      <c r="B1" s="594"/>
      <c r="C1" s="594"/>
      <c r="D1" s="594"/>
      <c r="E1" s="594"/>
      <c r="F1" s="594"/>
    </row>
    <row r="2" spans="1:6" ht="24">
      <c r="A2" s="97" t="s">
        <v>20</v>
      </c>
      <c r="B2" s="98">
        <f>'ป1-สนอ.'!C2</f>
        <v>0</v>
      </c>
      <c r="C2" s="96"/>
      <c r="D2" s="96"/>
      <c r="E2" s="96"/>
      <c r="F2" s="96"/>
    </row>
    <row r="3" spans="1:6" ht="24" hidden="1">
      <c r="A3" s="97"/>
      <c r="B3" s="99" t="s">
        <v>97</v>
      </c>
      <c r="C3" s="96"/>
      <c r="D3" s="96"/>
      <c r="E3" s="96"/>
      <c r="F3" s="99" t="s">
        <v>102</v>
      </c>
    </row>
    <row r="4" spans="1:6" ht="24" hidden="1">
      <c r="A4" s="100"/>
      <c r="B4" s="99" t="s">
        <v>98</v>
      </c>
      <c r="C4" s="96"/>
      <c r="D4" s="96"/>
      <c r="E4" s="96"/>
      <c r="F4" s="99" t="s">
        <v>139</v>
      </c>
    </row>
    <row r="5" spans="1:6" ht="24" hidden="1">
      <c r="A5" s="101"/>
      <c r="B5" s="96"/>
      <c r="C5" s="96"/>
      <c r="D5" s="96"/>
      <c r="E5" s="96"/>
      <c r="F5" s="99" t="s">
        <v>140</v>
      </c>
    </row>
    <row r="6" spans="1:6" ht="24" hidden="1">
      <c r="A6" s="101"/>
      <c r="B6" s="99" t="s">
        <v>101</v>
      </c>
      <c r="C6" s="101"/>
      <c r="D6" s="101"/>
      <c r="E6" s="96"/>
      <c r="F6" s="96"/>
    </row>
    <row r="7" spans="1:6" ht="15.75" hidden="1" customHeight="1">
      <c r="A7" s="595"/>
      <c r="B7" s="595"/>
      <c r="C7" s="595"/>
      <c r="D7" s="595"/>
      <c r="E7" s="595"/>
      <c r="F7" s="595"/>
    </row>
    <row r="8" spans="1:6" ht="26.25" customHeight="1">
      <c r="A8" s="596" t="s">
        <v>107</v>
      </c>
      <c r="B8" s="597" t="s">
        <v>0</v>
      </c>
      <c r="C8" s="597"/>
      <c r="D8" s="597"/>
      <c r="E8" s="597"/>
      <c r="F8" s="592" t="s">
        <v>109</v>
      </c>
    </row>
    <row r="9" spans="1:6" ht="27.75">
      <c r="A9" s="596"/>
      <c r="B9" s="78" t="s">
        <v>78</v>
      </c>
      <c r="C9" s="78" t="s">
        <v>77</v>
      </c>
      <c r="D9" s="78" t="s">
        <v>76</v>
      </c>
      <c r="E9" s="341" t="s">
        <v>108</v>
      </c>
      <c r="F9" s="593"/>
    </row>
    <row r="10" spans="1:6" s="105" customFormat="1" ht="46.5">
      <c r="A10" s="102" t="str">
        <f>+ข้อมูลฐาน!A5</f>
        <v>องค์ประกอบที่  1  ปรัชญา ปณิธาน วัตถุประสงค์ และแผนดำเนินการ</v>
      </c>
      <c r="B10" s="103">
        <v>0</v>
      </c>
      <c r="C10" s="103">
        <f>+'ป 2-1'!G11</f>
        <v>4</v>
      </c>
      <c r="D10" s="103">
        <v>0</v>
      </c>
      <c r="E10" s="103">
        <f>+'ป 2-1'!I11</f>
        <v>4</v>
      </c>
      <c r="F10" s="104" t="str">
        <f>IF(E10&lt;1.51,"ต้องปรับปรุงเร่งด่วน",IF(E10&lt;2.51,"ต้องปรับปรุง",IF(E10&lt;3.51,"พอใช้",IF(E10&lt;4.51,"ดี",IF(E10&gt;=4.51,"ดีมาก")))))</f>
        <v>ดี</v>
      </c>
    </row>
    <row r="11" spans="1:6" s="105" customFormat="1" ht="27.75">
      <c r="A11" s="102" t="str">
        <f>+ข้อมูลฐาน!A77</f>
        <v>องค์ประกอบที่ 7 การบริหารจัดการ</v>
      </c>
      <c r="B11" s="103">
        <v>0</v>
      </c>
      <c r="C11" s="103">
        <f>+'ป 2-1'!G23</f>
        <v>4.5</v>
      </c>
      <c r="D11" s="103">
        <v>0</v>
      </c>
      <c r="E11" s="103">
        <f>+'ป 2-1'!I23</f>
        <v>4.5</v>
      </c>
      <c r="F11" s="104" t="str">
        <f t="shared" ref="F11:F15" si="0">IF(E11&lt;1.51,"ต้องปรับปรุงเร่งด่วน",IF(E11&lt;2.51,"ต้องปรับปรุง",IF(E11&lt;3.51,"พอใช้",IF(E11&lt;4.51,"ดี",IF(E11&gt;=4.51,"ดีมาก")))))</f>
        <v>ดี</v>
      </c>
    </row>
    <row r="12" spans="1:6" s="107" customFormat="1" ht="27.75">
      <c r="A12" s="102" t="str">
        <f>+ข้อมูลฐาน!A175</f>
        <v>องค์ประกอบที่ 8  การเงินและงบประมาณ</v>
      </c>
      <c r="B12" s="103">
        <v>0</v>
      </c>
      <c r="C12" s="103">
        <f>+'ป 2-1'!G26</f>
        <v>2</v>
      </c>
      <c r="D12" s="103">
        <v>0</v>
      </c>
      <c r="E12" s="103">
        <f>+'ป 2-1'!I26</f>
        <v>2</v>
      </c>
      <c r="F12" s="104" t="str">
        <f t="shared" si="0"/>
        <v>ต้องปรับปรุง</v>
      </c>
    </row>
    <row r="13" spans="1:6" s="111" customFormat="1" ht="28.5" thickBot="1">
      <c r="A13" s="108" t="str">
        <f>+ข้อมูลฐาน!A185</f>
        <v>องค์ประกอบที่  9  การประกันคุณภาพ</v>
      </c>
      <c r="B13" s="109">
        <v>0</v>
      </c>
      <c r="C13" s="109">
        <f>+'ป 2-1'!G29</f>
        <v>4</v>
      </c>
      <c r="D13" s="109">
        <v>0</v>
      </c>
      <c r="E13" s="109">
        <f>+'ป 2-1'!I29</f>
        <v>4</v>
      </c>
      <c r="F13" s="110" t="str">
        <f>IF(E13&lt;1.51,"ต้องปรับปรุงเร่งด่วน",IF(E13&lt;2.51,"ต้องปรับปรุง",IF(E13&lt;3.51,"พอใช้",IF(E13&lt;4.51,"ดี",IF(E13&gt;=4.51,"ดีมาก")))))</f>
        <v>ดี</v>
      </c>
    </row>
    <row r="14" spans="1:6" s="116" customFormat="1" ht="30.75">
      <c r="A14" s="112" t="s">
        <v>1</v>
      </c>
      <c r="B14" s="113"/>
      <c r="C14" s="113"/>
      <c r="D14" s="113"/>
      <c r="E14" s="114"/>
      <c r="F14" s="115"/>
    </row>
    <row r="15" spans="1:6" ht="31.5" thickBot="1">
      <c r="A15" s="117" t="s">
        <v>109</v>
      </c>
      <c r="B15" s="118">
        <v>0</v>
      </c>
      <c r="C15" s="118">
        <f>+'ป 2-1'!G30</f>
        <v>4</v>
      </c>
      <c r="D15" s="118">
        <v>0</v>
      </c>
      <c r="E15" s="118">
        <f>+'ป 2-1'!I30</f>
        <v>4</v>
      </c>
      <c r="F15" s="119" t="str">
        <f t="shared" si="0"/>
        <v>ดี</v>
      </c>
    </row>
    <row r="18" spans="1:6" ht="27.75" customHeight="1">
      <c r="A18" s="596" t="s">
        <v>107</v>
      </c>
      <c r="B18" s="597" t="s">
        <v>187</v>
      </c>
      <c r="C18" s="597"/>
      <c r="D18" s="597"/>
      <c r="E18" s="597"/>
      <c r="F18" s="592" t="s">
        <v>109</v>
      </c>
    </row>
    <row r="19" spans="1:6" ht="23.25" customHeight="1">
      <c r="A19" s="596"/>
      <c r="B19" s="317" t="s">
        <v>78</v>
      </c>
      <c r="C19" s="317" t="s">
        <v>77</v>
      </c>
      <c r="D19" s="317" t="s">
        <v>76</v>
      </c>
      <c r="E19" s="318" t="s">
        <v>108</v>
      </c>
      <c r="F19" s="593"/>
    </row>
    <row r="20" spans="1:6" ht="46.5">
      <c r="A20" s="102" t="str">
        <f>A10</f>
        <v>องค์ประกอบที่  1  ปรัชญา ปณิธาน วัตถุประสงค์ และแผนดำเนินการ</v>
      </c>
      <c r="B20" s="103">
        <v>0</v>
      </c>
      <c r="C20" s="103">
        <f>+'ป 2-1'!K11</f>
        <v>4</v>
      </c>
      <c r="D20" s="103">
        <f>+'ป 2-1'!L11</f>
        <v>4.666666666666667</v>
      </c>
      <c r="E20" s="103">
        <f>+'ป 2-1'!M11</f>
        <v>4.5</v>
      </c>
      <c r="F20" s="104" t="str">
        <f>IF(E20&lt;1.51,"ต้องปรับปรุงเร่งด่วน",IF(E20&lt;2.51,"ต้องปรับปรุง",IF(E20&lt;3.51,"พอใช้",IF(E20&lt;4.51,"ดี",IF(E20&gt;=4.51,"ดีมาก")))))</f>
        <v>ดี</v>
      </c>
    </row>
    <row r="21" spans="1:6" ht="24">
      <c r="A21" s="102" t="str">
        <f t="shared" ref="A21:A23" si="1">A11</f>
        <v>องค์ประกอบที่ 7 การบริหารจัดการ</v>
      </c>
      <c r="B21" s="103">
        <v>0</v>
      </c>
      <c r="C21" s="103">
        <f>+'ป 2-1'!K23</f>
        <v>4.5999999999999996</v>
      </c>
      <c r="D21" s="103">
        <f>+'ป 2-1'!L23</f>
        <v>4.3033333333333337</v>
      </c>
      <c r="E21" s="103">
        <f>+'ป 2-1'!M23</f>
        <v>4.4887499999999996</v>
      </c>
      <c r="F21" s="104" t="str">
        <f t="shared" ref="F21:F25" si="2">IF(E21&lt;1.51,"ต้องปรับปรุงเร่งด่วน",IF(E21&lt;2.51,"ต้องปรับปรุง",IF(E21&lt;3.51,"พอใช้",IF(E21&lt;4.51,"ดี",IF(E21&gt;=4.51,"ดีมาก")))))</f>
        <v>ดี</v>
      </c>
    </row>
    <row r="22" spans="1:6" ht="24">
      <c r="A22" s="102" t="str">
        <f t="shared" si="1"/>
        <v>องค์ประกอบที่ 8  การเงินและงบประมาณ</v>
      </c>
      <c r="B22" s="103">
        <v>0</v>
      </c>
      <c r="C22" s="103">
        <f>+'ป 2-1'!K26</f>
        <v>2</v>
      </c>
      <c r="D22" s="103">
        <v>0</v>
      </c>
      <c r="E22" s="103">
        <f>+'ป 2-1'!M26</f>
        <v>2</v>
      </c>
      <c r="F22" s="104" t="str">
        <f t="shared" si="2"/>
        <v>ต้องปรับปรุง</v>
      </c>
    </row>
    <row r="23" spans="1:6" ht="24.75" thickBot="1">
      <c r="A23" s="102" t="str">
        <f t="shared" si="1"/>
        <v>องค์ประกอบที่  9  การประกันคุณภาพ</v>
      </c>
      <c r="B23" s="109">
        <v>0</v>
      </c>
      <c r="C23" s="109">
        <f>+'ป 2-1'!K29</f>
        <v>4</v>
      </c>
      <c r="D23" s="109">
        <v>0</v>
      </c>
      <c r="E23" s="109">
        <f>+'ป 2-1'!M29</f>
        <v>4</v>
      </c>
      <c r="F23" s="110" t="str">
        <f t="shared" si="2"/>
        <v>ดี</v>
      </c>
    </row>
    <row r="24" spans="1:6" ht="26.25" customHeight="1">
      <c r="A24" s="112" t="s">
        <v>1</v>
      </c>
      <c r="B24" s="113"/>
      <c r="C24" s="113"/>
      <c r="D24" s="113"/>
      <c r="E24" s="114"/>
      <c r="F24" s="115"/>
    </row>
    <row r="25" spans="1:6" ht="31.5" thickBot="1">
      <c r="A25" s="117" t="s">
        <v>109</v>
      </c>
      <c r="B25" s="118">
        <v>0</v>
      </c>
      <c r="C25" s="118">
        <f>+'ป 2-1'!K30</f>
        <v>4.125</v>
      </c>
      <c r="D25" s="118">
        <f>+'ป 2-1'!L30</f>
        <v>4.4850000000000003</v>
      </c>
      <c r="E25" s="118">
        <f>+'ป 2-1'!M30</f>
        <v>4.2792857142857139</v>
      </c>
      <c r="F25" s="119" t="str">
        <f t="shared" si="2"/>
        <v>ดี</v>
      </c>
    </row>
  </sheetData>
  <mergeCells count="8">
    <mergeCell ref="F18:F19"/>
    <mergeCell ref="A1:F1"/>
    <mergeCell ref="A7:F7"/>
    <mergeCell ref="A8:A9"/>
    <mergeCell ref="B8:E8"/>
    <mergeCell ref="F8:F9"/>
    <mergeCell ref="A18:A19"/>
    <mergeCell ref="B18:E18"/>
  </mergeCells>
  <phoneticPr fontId="2" type="noConversion"/>
  <conditionalFormatting sqref="F10:F15 F20:F24">
    <cfRule type="cellIs" dxfId="31" priority="13" stopIfTrue="1" operator="equal">
      <formula>"ต้องปรับปรุงเร่งด่วน"</formula>
    </cfRule>
    <cfRule type="cellIs" dxfId="30" priority="14" stopIfTrue="1" operator="equal">
      <formula>"ต้องปรับปรุง"</formula>
    </cfRule>
    <cfRule type="cellIs" dxfId="29" priority="15" stopIfTrue="1" operator="equal">
      <formula>"ต้องปรับปรุงเร่งด่วน"</formula>
    </cfRule>
    <cfRule type="cellIs" dxfId="28" priority="16" stopIfTrue="1" operator="equal">
      <formula>"ต้องปรับปรุงเร่งด่วน"</formula>
    </cfRule>
  </conditionalFormatting>
  <conditionalFormatting sqref="F25">
    <cfRule type="cellIs" dxfId="27" priority="1" stopIfTrue="1" operator="equal">
      <formula>"ต้องปรับปรุงเร่งด่วน"</formula>
    </cfRule>
    <cfRule type="cellIs" dxfId="26" priority="2" stopIfTrue="1" operator="equal">
      <formula>"ต้องปรับปรุง"</formula>
    </cfRule>
    <cfRule type="cellIs" dxfId="25" priority="3" stopIfTrue="1" operator="equal">
      <formula>"ต้องปรับปรุงเร่งด่วน"</formula>
    </cfRule>
    <cfRule type="cellIs" dxfId="24" priority="4" stopIfTrue="1" operator="equal">
      <formula>"ต้องปรับปรุงเร่งด่วน"</formula>
    </cfRule>
  </conditionalFormatting>
  <pageMargins left="0.7" right="0.7" top="0.75" bottom="0.75" header="0.3" footer="0.3"/>
  <pageSetup orientation="portrait" horizont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G27"/>
  <sheetViews>
    <sheetView workbookViewId="0">
      <selection activeCell="G25" sqref="G25"/>
    </sheetView>
  </sheetViews>
  <sheetFormatPr defaultRowHeight="23.25"/>
  <cols>
    <col min="1" max="1" width="5.625" style="120" customWidth="1"/>
    <col min="2" max="2" width="28.625" style="120" customWidth="1"/>
    <col min="3" max="3" width="9.25" style="120" customWidth="1"/>
    <col min="4" max="4" width="9.5" style="120" customWidth="1"/>
    <col min="5" max="5" width="9.125" style="120" customWidth="1"/>
    <col min="6" max="6" width="11.125" style="121" customWidth="1"/>
    <col min="7" max="7" width="37.125" style="122" customWidth="1"/>
    <col min="8" max="16384" width="9" style="96"/>
  </cols>
  <sheetData>
    <row r="1" spans="1:7" ht="27.75">
      <c r="A1" s="594" t="s">
        <v>168</v>
      </c>
      <c r="B1" s="594"/>
      <c r="C1" s="594"/>
      <c r="D1" s="594"/>
      <c r="E1" s="594"/>
      <c r="F1" s="594"/>
      <c r="G1" s="594"/>
    </row>
    <row r="2" spans="1:7" s="98" customFormat="1" ht="24">
      <c r="A2" s="601" t="s">
        <v>96</v>
      </c>
      <c r="B2" s="601"/>
      <c r="C2" s="98">
        <f>'ป 2'!B2</f>
        <v>0</v>
      </c>
    </row>
    <row r="3" spans="1:7" ht="24" hidden="1">
      <c r="A3" s="97"/>
      <c r="B3" s="97"/>
      <c r="C3" s="99" t="s">
        <v>97</v>
      </c>
      <c r="D3" s="96"/>
      <c r="E3" s="96"/>
      <c r="F3" s="96"/>
      <c r="G3" s="99" t="s">
        <v>102</v>
      </c>
    </row>
    <row r="4" spans="1:7" ht="24" hidden="1">
      <c r="A4" s="100"/>
      <c r="B4" s="100"/>
      <c r="C4" s="99" t="s">
        <v>98</v>
      </c>
      <c r="D4" s="96"/>
      <c r="E4" s="96"/>
      <c r="F4" s="96"/>
      <c r="G4" s="97" t="s">
        <v>139</v>
      </c>
    </row>
    <row r="5" spans="1:7" ht="24" hidden="1">
      <c r="A5" s="101"/>
      <c r="B5" s="101"/>
      <c r="C5" s="96"/>
      <c r="D5" s="96"/>
      <c r="E5" s="96"/>
      <c r="F5" s="96"/>
      <c r="G5" s="97" t="s">
        <v>140</v>
      </c>
    </row>
    <row r="6" spans="1:7" ht="24" hidden="1">
      <c r="A6" s="101"/>
      <c r="B6" s="101"/>
      <c r="C6" s="99" t="s">
        <v>101</v>
      </c>
      <c r="D6" s="101"/>
      <c r="E6" s="101"/>
      <c r="F6" s="96"/>
      <c r="G6" s="96"/>
    </row>
    <row r="7" spans="1:7" hidden="1">
      <c r="A7" s="595"/>
      <c r="B7" s="595"/>
      <c r="C7" s="595"/>
      <c r="D7" s="595"/>
      <c r="E7" s="595"/>
      <c r="F7" s="595"/>
      <c r="G7" s="595"/>
    </row>
    <row r="8" spans="1:7" ht="26.25" customHeight="1">
      <c r="A8" s="602" t="s">
        <v>2</v>
      </c>
      <c r="B8" s="602"/>
      <c r="C8" s="600" t="s">
        <v>0</v>
      </c>
      <c r="D8" s="600"/>
      <c r="E8" s="600"/>
      <c r="F8" s="600"/>
      <c r="G8" s="598" t="s">
        <v>109</v>
      </c>
    </row>
    <row r="9" spans="1:7" ht="27.75" customHeight="1">
      <c r="A9" s="602"/>
      <c r="B9" s="602"/>
      <c r="C9" s="320" t="s">
        <v>78</v>
      </c>
      <c r="D9" s="320" t="s">
        <v>77</v>
      </c>
      <c r="E9" s="320" t="s">
        <v>76</v>
      </c>
      <c r="F9" s="319" t="s">
        <v>108</v>
      </c>
      <c r="G9" s="599"/>
    </row>
    <row r="10" spans="1:7" s="105" customFormat="1" ht="27.75">
      <c r="A10" s="603" t="str">
        <f>'ป 3-1'!A5</f>
        <v>1. มาตรฐานด้านคุณภาพบัณฑิต</v>
      </c>
      <c r="B10" s="604"/>
      <c r="C10" s="352">
        <f>+'ป 3-1'!F6</f>
        <v>0</v>
      </c>
      <c r="D10" s="352">
        <f>+'ป 3-1'!G6</f>
        <v>0</v>
      </c>
      <c r="E10" s="352">
        <f>+'ป 3-1'!H6</f>
        <v>0</v>
      </c>
      <c r="F10" s="352">
        <f>+'ป 3-1'!I6</f>
        <v>0</v>
      </c>
      <c r="G10" s="104" t="s">
        <v>164</v>
      </c>
    </row>
    <row r="11" spans="1:7" s="106" customFormat="1" ht="27.75">
      <c r="A11" s="605" t="str">
        <f>'ป 3-1'!A7</f>
        <v>2. มาตรฐานด้านการบริหารจัดการอุดมศึกษา</v>
      </c>
      <c r="B11" s="606"/>
      <c r="C11" s="123"/>
      <c r="D11" s="123"/>
      <c r="E11" s="123"/>
      <c r="F11" s="123"/>
      <c r="G11" s="124"/>
    </row>
    <row r="12" spans="1:7" s="106" customFormat="1" ht="48.75" customHeight="1">
      <c r="A12" s="125"/>
      <c r="B12" s="126" t="str">
        <f>'ป 3-1'!A8</f>
        <v>ก. มาตรฐานด้านธรรมาภิบาลของการบริหารจัดการอุดมศึกษา</v>
      </c>
      <c r="C12" s="127">
        <v>0</v>
      </c>
      <c r="D12" s="127">
        <f>+'ป 3-1'!G21</f>
        <v>3.8333333333333335</v>
      </c>
      <c r="E12" s="127">
        <v>0</v>
      </c>
      <c r="F12" s="127">
        <f>+'ป 3-1'!I21</f>
        <v>3.8333333333333335</v>
      </c>
      <c r="G12" s="128" t="str">
        <f>IF(F12&lt;1.51,"ต้องปรับปรุงเร่งด่วน",IF(F12&lt;2.51,"ต้องปรับปรุง",IF(F12&lt;3.51,"พอใช้",IF(F12&lt;4.51,"ดี",IF(F12&gt;=4.51,"ดีมาก")))))</f>
        <v>ดี</v>
      </c>
    </row>
    <row r="13" spans="1:7" s="106" customFormat="1" ht="53.25" customHeight="1">
      <c r="A13" s="129"/>
      <c r="B13" s="130" t="str">
        <f>'ป 3-1'!A22</f>
        <v>ข. มาตรฐานด้านพันธกิจของการบริหารจัดการอุดมศึกษา</v>
      </c>
      <c r="C13" s="351">
        <v>0</v>
      </c>
      <c r="D13" s="351">
        <v>0</v>
      </c>
      <c r="E13" s="351">
        <v>0</v>
      </c>
      <c r="F13" s="351">
        <v>0</v>
      </c>
      <c r="G13" s="128" t="s">
        <v>164</v>
      </c>
    </row>
    <row r="14" spans="1:7" s="106" customFormat="1" ht="28.5" thickBot="1">
      <c r="A14" s="607" t="str">
        <f>'ป 3-1'!A27</f>
        <v>3. มาตรฐานด้านการสร้างและพัฒนาสังคมฐานความรู้และสังคมแห่งการเรียนรู้</v>
      </c>
      <c r="B14" s="608"/>
      <c r="C14" s="103">
        <v>0</v>
      </c>
      <c r="D14" s="103">
        <f>+'ป 3-1'!G29</f>
        <v>5</v>
      </c>
      <c r="E14" s="103">
        <v>0</v>
      </c>
      <c r="F14" s="103">
        <f>+'ป 3-1'!I29</f>
        <v>5</v>
      </c>
      <c r="G14" s="104" t="str">
        <f>IF(F14&lt;1.51,"ต้องปรับปรุงเร่งด่วน",IF(F14&lt;2.51,"ต้องปรับปรุง",IF(F14&lt;3.51,"พอใช้",IF(F14&lt;4.51,"ดี",IF(F14&gt;=4.51,"ดีมาก")))))</f>
        <v>ดีมาก</v>
      </c>
    </row>
    <row r="15" spans="1:7" s="116" customFormat="1" ht="30.75">
      <c r="A15" s="609" t="s">
        <v>3</v>
      </c>
      <c r="B15" s="610"/>
      <c r="C15" s="132"/>
      <c r="D15" s="133"/>
      <c r="E15" s="132"/>
      <c r="F15" s="134"/>
      <c r="G15" s="115"/>
    </row>
    <row r="16" spans="1:7" ht="33.75" thickBot="1">
      <c r="A16" s="611" t="s">
        <v>109</v>
      </c>
      <c r="B16" s="612"/>
      <c r="C16" s="118">
        <v>0</v>
      </c>
      <c r="D16" s="118">
        <f>+'ป 3-1'!G30</f>
        <v>4</v>
      </c>
      <c r="E16" s="118">
        <v>0</v>
      </c>
      <c r="F16" s="118">
        <f>+'ป 3-1'!I30</f>
        <v>4</v>
      </c>
      <c r="G16" s="135" t="str">
        <f>IF(F16&lt;1.51,"ต้องปรับปรุงเร่งด่วน",IF(F16&lt;2.51,"ต้องปรับปรุง",IF(F16&lt;3.51,"พอใช้",IF(F16&lt;4.51,"ดี",IF(F16&gt;=4.51,"ดีมาก")))))</f>
        <v>ดี</v>
      </c>
    </row>
    <row r="19" spans="1:7" ht="27.75" customHeight="1">
      <c r="A19" s="602" t="s">
        <v>2</v>
      </c>
      <c r="B19" s="602"/>
      <c r="C19" s="600" t="s">
        <v>187</v>
      </c>
      <c r="D19" s="600"/>
      <c r="E19" s="600"/>
      <c r="F19" s="600"/>
      <c r="G19" s="598" t="s">
        <v>109</v>
      </c>
    </row>
    <row r="20" spans="1:7" ht="23.25" customHeight="1">
      <c r="A20" s="602"/>
      <c r="B20" s="602"/>
      <c r="C20" s="320" t="s">
        <v>78</v>
      </c>
      <c r="D20" s="320" t="s">
        <v>77</v>
      </c>
      <c r="E20" s="320" t="s">
        <v>76</v>
      </c>
      <c r="F20" s="319" t="s">
        <v>108</v>
      </c>
      <c r="G20" s="599"/>
    </row>
    <row r="21" spans="1:7" ht="24">
      <c r="A21" s="603" t="str">
        <f>A10</f>
        <v>1. มาตรฐานด้านคุณภาพบัณฑิต</v>
      </c>
      <c r="B21" s="604"/>
      <c r="C21" s="352">
        <f>+'ป 3-1'!J6</f>
        <v>0</v>
      </c>
      <c r="D21" s="352">
        <f>+'ป 3-1'!K6</f>
        <v>0</v>
      </c>
      <c r="E21" s="352">
        <f>+'ป 3-1'!L6</f>
        <v>0</v>
      </c>
      <c r="F21" s="352">
        <f>+'ป 3-1'!M6</f>
        <v>0</v>
      </c>
      <c r="G21" s="104" t="s">
        <v>164</v>
      </c>
    </row>
    <row r="22" spans="1:7">
      <c r="A22" s="605" t="str">
        <f>A11</f>
        <v>2. มาตรฐานด้านการบริหารจัดการอุดมศึกษา</v>
      </c>
      <c r="B22" s="606"/>
      <c r="C22" s="123"/>
      <c r="D22" s="123"/>
      <c r="E22" s="123"/>
      <c r="F22" s="123"/>
      <c r="G22" s="124"/>
    </row>
    <row r="23" spans="1:7" ht="46.5">
      <c r="A23" s="125"/>
      <c r="B23" s="126" t="str">
        <f>B12</f>
        <v>ก. มาตรฐานด้านธรรมาภิบาลของการบริหารจัดการอุดมศึกษา</v>
      </c>
      <c r="C23" s="127">
        <v>0</v>
      </c>
      <c r="D23" s="127">
        <f>+'ป 3-1'!K21</f>
        <v>4</v>
      </c>
      <c r="E23" s="127">
        <f>+'ป 3-1'!L21</f>
        <v>4.3033333333333337</v>
      </c>
      <c r="F23" s="127">
        <f>+'ป 3-1'!M21</f>
        <v>4.0909999999999993</v>
      </c>
      <c r="G23" s="128" t="str">
        <f>IF(F23&lt;1.51,"ต้องปรับปรุงเร่งด่วน",IF(F23&lt;2.51,"ต้องปรับปรุง",IF(F23&lt;3.51,"พอใช้",IF(F23&lt;4.51,"ดี",IF(F23&gt;=4.51,"ดีมาก")))))</f>
        <v>ดี</v>
      </c>
    </row>
    <row r="24" spans="1:7" ht="46.5">
      <c r="A24" s="129"/>
      <c r="B24" s="130" t="str">
        <f>B13</f>
        <v>ข. มาตรฐานด้านพันธกิจของการบริหารจัดการอุดมศึกษา</v>
      </c>
      <c r="C24" s="131">
        <v>0</v>
      </c>
      <c r="D24" s="131">
        <v>0</v>
      </c>
      <c r="E24" s="131">
        <f>+'ป 3-1'!L26</f>
        <v>4.666666666666667</v>
      </c>
      <c r="F24" s="131">
        <f>+'ป 3-1'!M26</f>
        <v>4.666666666666667</v>
      </c>
      <c r="G24" s="128" t="str">
        <f>IF(F24&lt;1.51,"ต้องปรับปรุงเร่งด่วน",IF(F24&lt;2.51,"ต้องปรับปรุง",IF(F24&lt;3.51,"พอใช้",IF(F24&lt;4.51,"ดี",IF(F24&gt;=4.51,"ดีมาก")))))</f>
        <v>ดีมาก</v>
      </c>
    </row>
    <row r="25" spans="1:7" ht="24.75" thickBot="1">
      <c r="A25" s="607" t="str">
        <f>A14</f>
        <v>3. มาตรฐานด้านการสร้างและพัฒนาสังคมฐานความรู้และสังคมแห่งการเรียนรู้</v>
      </c>
      <c r="B25" s="608"/>
      <c r="C25" s="103">
        <v>0</v>
      </c>
      <c r="D25" s="103">
        <f>+'ป 3-1'!K29</f>
        <v>5</v>
      </c>
      <c r="E25" s="103">
        <v>0</v>
      </c>
      <c r="F25" s="103">
        <f>+'ป 3-1'!M29</f>
        <v>5</v>
      </c>
      <c r="G25" s="104" t="str">
        <f>IF(F25&lt;1.51,"ต้องปรับปรุงเร่งด่วน",IF(F25&lt;2.51,"ต้องปรับปรุง",IF(F25&lt;3.51,"พอใช้",IF(F25&lt;4.51,"ดี",IF(F25&gt;=4.51,"ดีมาก")))))</f>
        <v>ดีมาก</v>
      </c>
    </row>
    <row r="26" spans="1:7" ht="30.75">
      <c r="A26" s="609" t="s">
        <v>3</v>
      </c>
      <c r="B26" s="610"/>
      <c r="C26" s="132"/>
      <c r="D26" s="133"/>
      <c r="E26" s="132"/>
      <c r="F26" s="134"/>
      <c r="G26" s="115"/>
    </row>
    <row r="27" spans="1:7" ht="31.5" thickBot="1">
      <c r="A27" s="611" t="s">
        <v>109</v>
      </c>
      <c r="B27" s="612"/>
      <c r="C27" s="118">
        <v>0</v>
      </c>
      <c r="D27" s="118">
        <f>+'ป 3-1'!K30</f>
        <v>4.125</v>
      </c>
      <c r="E27" s="118">
        <f>+'ป 3-1'!L30</f>
        <v>4.4850000000000003</v>
      </c>
      <c r="F27" s="118">
        <f>+'ป 3-1'!M30</f>
        <v>4.2792857142857139</v>
      </c>
      <c r="G27" s="136" t="str">
        <f>IF(F27&lt;1.51,"ต้องปรับปรุงเร่งด่วน",IF(F27&lt;2.51,"ต้องปรับปรุง",IF(F27&lt;3.51,"พอใช้",IF(F27&lt;4.51,"ดี",IF(F27&gt;=4.51,"ดีมาก")))))</f>
        <v>ดี</v>
      </c>
    </row>
  </sheetData>
  <mergeCells count="19">
    <mergeCell ref="A22:B22"/>
    <mergeCell ref="A25:B25"/>
    <mergeCell ref="A26:B26"/>
    <mergeCell ref="A27:B27"/>
    <mergeCell ref="A21:B21"/>
    <mergeCell ref="G19:G20"/>
    <mergeCell ref="G8:G9"/>
    <mergeCell ref="A1:G1"/>
    <mergeCell ref="A7:G7"/>
    <mergeCell ref="C8:F8"/>
    <mergeCell ref="A2:B2"/>
    <mergeCell ref="A8:B9"/>
    <mergeCell ref="A10:B10"/>
    <mergeCell ref="A11:B11"/>
    <mergeCell ref="A14:B14"/>
    <mergeCell ref="A15:B15"/>
    <mergeCell ref="A16:B16"/>
    <mergeCell ref="A19:B20"/>
    <mergeCell ref="C19:F19"/>
  </mergeCells>
  <phoneticPr fontId="2" type="noConversion"/>
  <conditionalFormatting sqref="G10 G12:G14 G16">
    <cfRule type="cellIs" dxfId="23" priority="9" stopIfTrue="1" operator="equal">
      <formula>"ต้องปรับปรุงเร่งด่วน"</formula>
    </cfRule>
    <cfRule type="cellIs" dxfId="22" priority="10" stopIfTrue="1" operator="equal">
      <formula>"ต้องปรับปรุง"</formula>
    </cfRule>
    <cfRule type="cellIs" dxfId="21" priority="11" stopIfTrue="1" operator="equal">
      <formula>"ต้องปรับปรุงเร่งด่วน"</formula>
    </cfRule>
    <cfRule type="cellIs" dxfId="20" priority="12" stopIfTrue="1" operator="equal">
      <formula>"ต้องปรับปรุงเร่งด่วน"</formula>
    </cfRule>
  </conditionalFormatting>
  <conditionalFormatting sqref="G21 G23:G25 G27">
    <cfRule type="cellIs" dxfId="19" priority="1" stopIfTrue="1" operator="equal">
      <formula>"ต้องปรับปรุงเร่งด่วน"</formula>
    </cfRule>
    <cfRule type="cellIs" dxfId="18" priority="2" stopIfTrue="1" operator="equal">
      <formula>"ต้องปรับปรุง"</formula>
    </cfRule>
    <cfRule type="cellIs" dxfId="17" priority="3" stopIfTrue="1" operator="equal">
      <formula>"ต้องปรับปรุงเร่งด่วน"</formula>
    </cfRule>
    <cfRule type="cellIs" dxfId="16" priority="4" stopIfTrue="1" operator="equal">
      <formula>"ต้องปรับปรุงเร่งด่วน"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F25"/>
  <sheetViews>
    <sheetView topLeftCell="A17" workbookViewId="0">
      <selection activeCell="D28" sqref="D28"/>
    </sheetView>
  </sheetViews>
  <sheetFormatPr defaultRowHeight="23.25"/>
  <cols>
    <col min="1" max="1" width="31.375" style="120" customWidth="1"/>
    <col min="2" max="2" width="9.25" style="120" customWidth="1"/>
    <col min="3" max="3" width="9.5" style="120" customWidth="1"/>
    <col min="4" max="4" width="9.125" style="120" customWidth="1"/>
    <col min="5" max="5" width="11.125" style="121" customWidth="1"/>
    <col min="6" max="6" width="46.75" style="122" customWidth="1"/>
    <col min="7" max="16384" width="9" style="96"/>
  </cols>
  <sheetData>
    <row r="1" spans="1:6" ht="27.75">
      <c r="A1" s="594" t="s">
        <v>169</v>
      </c>
      <c r="B1" s="594"/>
      <c r="C1" s="594"/>
      <c r="D1" s="594"/>
      <c r="E1" s="594"/>
      <c r="F1" s="594"/>
    </row>
    <row r="2" spans="1:6" ht="24">
      <c r="A2" s="97" t="s">
        <v>96</v>
      </c>
      <c r="B2" s="99">
        <f>'ป 2'!B2</f>
        <v>0</v>
      </c>
      <c r="C2" s="96"/>
      <c r="D2" s="96"/>
      <c r="E2" s="96"/>
      <c r="F2" s="96"/>
    </row>
    <row r="3" spans="1:6" ht="24" hidden="1">
      <c r="A3" s="97"/>
      <c r="B3" s="99" t="s">
        <v>97</v>
      </c>
      <c r="C3" s="96"/>
      <c r="D3" s="96"/>
      <c r="E3" s="96"/>
      <c r="F3" s="99" t="s">
        <v>102</v>
      </c>
    </row>
    <row r="4" spans="1:6" ht="24" hidden="1">
      <c r="A4" s="100"/>
      <c r="B4" s="99" t="s">
        <v>98</v>
      </c>
      <c r="C4" s="96"/>
      <c r="D4" s="96"/>
      <c r="E4" s="96"/>
      <c r="F4" s="99" t="s">
        <v>99</v>
      </c>
    </row>
    <row r="5" spans="1:6" ht="24" hidden="1">
      <c r="A5" s="101"/>
      <c r="B5" s="96"/>
      <c r="C5" s="96"/>
      <c r="D5" s="96"/>
      <c r="E5" s="96"/>
      <c r="F5" s="99" t="s">
        <v>100</v>
      </c>
    </row>
    <row r="6" spans="1:6" ht="24" hidden="1">
      <c r="A6" s="101"/>
      <c r="B6" s="99" t="s">
        <v>101</v>
      </c>
      <c r="C6" s="101"/>
      <c r="D6" s="101"/>
      <c r="E6" s="96"/>
      <c r="F6" s="96"/>
    </row>
    <row r="7" spans="1:6" hidden="1">
      <c r="A7" s="595"/>
      <c r="B7" s="595"/>
      <c r="C7" s="595"/>
      <c r="D7" s="595"/>
      <c r="E7" s="595"/>
      <c r="F7" s="595"/>
    </row>
    <row r="8" spans="1:6" ht="26.25" customHeight="1">
      <c r="A8" s="613" t="s">
        <v>107</v>
      </c>
      <c r="B8" s="616" t="s">
        <v>0</v>
      </c>
      <c r="C8" s="616"/>
      <c r="D8" s="616"/>
      <c r="E8" s="616"/>
      <c r="F8" s="613" t="s">
        <v>109</v>
      </c>
    </row>
    <row r="9" spans="1:6" ht="27.75" customHeight="1">
      <c r="A9" s="615"/>
      <c r="B9" s="321" t="s">
        <v>78</v>
      </c>
      <c r="C9" s="321" t="s">
        <v>77</v>
      </c>
      <c r="D9" s="321" t="s">
        <v>76</v>
      </c>
      <c r="E9" s="322" t="s">
        <v>108</v>
      </c>
      <c r="F9" s="614"/>
    </row>
    <row r="10" spans="1:6" s="105" customFormat="1" ht="27.75">
      <c r="A10" s="102" t="s">
        <v>4</v>
      </c>
      <c r="B10" s="352">
        <f>+'ป 4-1'!F6</f>
        <v>0</v>
      </c>
      <c r="C10" s="352">
        <f>+'ป 4-1'!G6</f>
        <v>0</v>
      </c>
      <c r="D10" s="352">
        <f>+'ป 4-1'!H6</f>
        <v>0</v>
      </c>
      <c r="E10" s="352">
        <f>+'ป 4-1'!I6</f>
        <v>0</v>
      </c>
      <c r="F10" s="104" t="s">
        <v>164</v>
      </c>
    </row>
    <row r="11" spans="1:6" s="106" customFormat="1" ht="27.75">
      <c r="A11" s="102" t="s">
        <v>5</v>
      </c>
      <c r="B11" s="103">
        <v>0</v>
      </c>
      <c r="C11" s="103">
        <f>+'ป 4-1'!G20</f>
        <v>4.2</v>
      </c>
      <c r="D11" s="103">
        <v>0</v>
      </c>
      <c r="E11" s="103">
        <f>+'ป 4-1'!I20</f>
        <v>4.2</v>
      </c>
      <c r="F11" s="104" t="str">
        <f>IF(E11&lt;1.51,"ต้องปรับปรุงเร่งด่วน",IF(E11&lt;2.51,"ต้องปรับปรุง",IF(E11&lt;3.51,"พอใช้",IF(E11&lt;4.51,"ดี",IF(E11&gt;=4.51,"ดีมาก")))))</f>
        <v>ดี</v>
      </c>
    </row>
    <row r="12" spans="1:6" s="106" customFormat="1" ht="27.75">
      <c r="A12" s="102" t="s">
        <v>6</v>
      </c>
      <c r="B12" s="103">
        <v>0</v>
      </c>
      <c r="C12" s="103">
        <f>+'ป 4-1'!G23</f>
        <v>2</v>
      </c>
      <c r="D12" s="103">
        <v>0</v>
      </c>
      <c r="E12" s="103">
        <f>+'ป 4-1'!I23</f>
        <v>2</v>
      </c>
      <c r="F12" s="104" t="str">
        <f>IF(E12&lt;1.51,"ต้องปรับปรุงเร่งด่วน",IF(E12&lt;2.51,"ต้องปรับปรุง",IF(E12&lt;3.51,"พอใช้",IF(E12&lt;4.51,"ดี",IF(E12&gt;=4.51,"ดีมาก")))))</f>
        <v>ต้องปรับปรุง</v>
      </c>
    </row>
    <row r="13" spans="1:6" s="106" customFormat="1" ht="28.5" thickBot="1">
      <c r="A13" s="102" t="s">
        <v>7</v>
      </c>
      <c r="B13" s="103">
        <v>0</v>
      </c>
      <c r="C13" s="103">
        <f>+'ป 4-1'!G26</f>
        <v>5</v>
      </c>
      <c r="D13" s="103">
        <v>0</v>
      </c>
      <c r="E13" s="103">
        <f>+'ป 4-1'!I26</f>
        <v>5</v>
      </c>
      <c r="F13" s="104" t="str">
        <f>IF(E13&lt;1.51,"ต้องปรับปรุงเร่งด่วน",IF(E13&lt;2.51,"ต้องปรับปรุง",IF(E13&lt;3.51,"พอใช้",IF(E13&lt;4.51,"ดี",IF(E13&gt;=4.51,"ดีมาก")))))</f>
        <v>ดีมาก</v>
      </c>
    </row>
    <row r="14" spans="1:6" s="116" customFormat="1" ht="30.75">
      <c r="A14" s="347" t="s">
        <v>148</v>
      </c>
      <c r="B14" s="132"/>
      <c r="C14" s="133"/>
      <c r="D14" s="132"/>
      <c r="E14" s="134"/>
      <c r="F14" s="115"/>
    </row>
    <row r="15" spans="1:6" ht="31.5" thickBot="1">
      <c r="A15" s="348" t="s">
        <v>109</v>
      </c>
      <c r="B15" s="118">
        <v>0</v>
      </c>
      <c r="C15" s="118">
        <f>+'ป 4-1'!G27</f>
        <v>4</v>
      </c>
      <c r="D15" s="118">
        <v>0</v>
      </c>
      <c r="E15" s="118">
        <f>+'ป 4-1'!I27</f>
        <v>4</v>
      </c>
      <c r="F15" s="137" t="str">
        <f>IF(E15&lt;1.51,"ต้องปรับปรุงเร่งด่วน",IF(E15&lt;2.51,"ต้องปรับปรุง",IF(E15&lt;3.51,"พอใช้",IF(E15&lt;4.51,"ดี",IF(E15&gt;=4.51,"ดีมาก")))))</f>
        <v>ดี</v>
      </c>
    </row>
    <row r="18" spans="1:6" ht="27.75">
      <c r="A18" s="613" t="s">
        <v>107</v>
      </c>
      <c r="B18" s="616" t="s">
        <v>187</v>
      </c>
      <c r="C18" s="616"/>
      <c r="D18" s="616"/>
      <c r="E18" s="616"/>
      <c r="F18" s="613" t="s">
        <v>109</v>
      </c>
    </row>
    <row r="19" spans="1:6" ht="23.25" customHeight="1">
      <c r="A19" s="615"/>
      <c r="B19" s="321" t="s">
        <v>78</v>
      </c>
      <c r="C19" s="321" t="s">
        <v>77</v>
      </c>
      <c r="D19" s="321" t="s">
        <v>76</v>
      </c>
      <c r="E19" s="322" t="s">
        <v>108</v>
      </c>
      <c r="F19" s="614"/>
    </row>
    <row r="20" spans="1:6" ht="24">
      <c r="A20" s="102" t="s">
        <v>4</v>
      </c>
      <c r="B20" s="352">
        <v>0</v>
      </c>
      <c r="C20" s="352">
        <v>0</v>
      </c>
      <c r="D20" s="352">
        <v>0</v>
      </c>
      <c r="E20" s="352">
        <v>0</v>
      </c>
      <c r="F20" s="104" t="s">
        <v>164</v>
      </c>
    </row>
    <row r="21" spans="1:6" ht="24">
      <c r="A21" s="102" t="s">
        <v>5</v>
      </c>
      <c r="B21" s="103">
        <v>0</v>
      </c>
      <c r="C21" s="103">
        <f>+'ป 4-1'!K20</f>
        <v>4.333333333333333</v>
      </c>
      <c r="D21" s="103">
        <f>+'ป 4-1'!L20</f>
        <v>4.4850000000000003</v>
      </c>
      <c r="E21" s="103">
        <f>+'ป 4-1'!M20</f>
        <v>4.4091666666666667</v>
      </c>
      <c r="F21" s="104" t="str">
        <f>IF(E21&lt;1.51,"ต้องปรับปรุงเร่งด่วน",IF(E21&lt;2.51,"ต้องปรับปรุง",IF(E21&lt;3.51,"พอใช้",IF(E21&lt;4.51,"ดี",IF(E21&gt;=4.51,"ดีมาก")))))</f>
        <v>ดี</v>
      </c>
    </row>
    <row r="22" spans="1:6" ht="24">
      <c r="A22" s="102" t="s">
        <v>6</v>
      </c>
      <c r="B22" s="103">
        <v>0</v>
      </c>
      <c r="C22" s="103">
        <f>+'ป 4-1'!K23</f>
        <v>2</v>
      </c>
      <c r="D22" s="103">
        <v>0</v>
      </c>
      <c r="E22" s="103">
        <f>+'ป 4-1'!M23</f>
        <v>2</v>
      </c>
      <c r="F22" s="104" t="str">
        <f>IF(E22&lt;1.51,"ต้องปรับปรุงเร่งด่วน",IF(E22&lt;2.51,"ต้องปรับปรุง",IF(E22&lt;3.51,"พอใช้",IF(E22&lt;4.51,"ดี",IF(E22&gt;=4.51,"ดีมาก")))))</f>
        <v>ต้องปรับปรุง</v>
      </c>
    </row>
    <row r="23" spans="1:6" ht="24.75" thickBot="1">
      <c r="A23" s="102" t="s">
        <v>7</v>
      </c>
      <c r="B23" s="103">
        <v>0</v>
      </c>
      <c r="C23" s="103">
        <f>+'ป 4-1'!K26</f>
        <v>5</v>
      </c>
      <c r="D23" s="103">
        <v>0</v>
      </c>
      <c r="E23" s="103">
        <f>+'ป 4-1'!M26</f>
        <v>5</v>
      </c>
      <c r="F23" s="104" t="str">
        <f>IF(E23&lt;1.51,"ต้องปรับปรุงเร่งด่วน",IF(E23&lt;2.51,"ต้องปรับปรุง",IF(E23&lt;3.51,"พอใช้",IF(E23&lt;4.51,"ดี",IF(E23&gt;=4.51,"ดีมาก")))))</f>
        <v>ดีมาก</v>
      </c>
    </row>
    <row r="24" spans="1:6" ht="30.75">
      <c r="A24" s="347" t="s">
        <v>148</v>
      </c>
      <c r="B24" s="132"/>
      <c r="C24" s="133"/>
      <c r="D24" s="132"/>
      <c r="E24" s="134"/>
      <c r="F24" s="115"/>
    </row>
    <row r="25" spans="1:6" ht="31.5" thickBot="1">
      <c r="A25" s="348" t="s">
        <v>109</v>
      </c>
      <c r="B25" s="118">
        <v>0</v>
      </c>
      <c r="C25" s="118">
        <f>+'ป 4-1'!K27</f>
        <v>4.125</v>
      </c>
      <c r="D25" s="118">
        <v>0</v>
      </c>
      <c r="E25" s="118">
        <f>+'ป 4-1'!M27</f>
        <v>4.2792857142857139</v>
      </c>
      <c r="F25" s="137" t="str">
        <f>IF(E25&lt;1.51,"ต้องปรับปรุงเร่งด่วน",IF(E25&lt;2.51,"ต้องปรับปรุง",IF(E25&lt;3.51,"พอใช้",IF(E25&lt;4.51,"ดี",IF(E25&gt;=4.51,"ดีมาก")))))</f>
        <v>ดี</v>
      </c>
    </row>
  </sheetData>
  <mergeCells count="8">
    <mergeCell ref="F18:F19"/>
    <mergeCell ref="A1:F1"/>
    <mergeCell ref="A7:F7"/>
    <mergeCell ref="A8:A9"/>
    <mergeCell ref="B8:E8"/>
    <mergeCell ref="F8:F9"/>
    <mergeCell ref="A18:A19"/>
    <mergeCell ref="B18:E18"/>
  </mergeCells>
  <phoneticPr fontId="2" type="noConversion"/>
  <conditionalFormatting sqref="F10:F13 F15">
    <cfRule type="cellIs" dxfId="15" priority="9" stopIfTrue="1" operator="equal">
      <formula>"ต้องปรับปรุงเร่งด่วน"</formula>
    </cfRule>
    <cfRule type="cellIs" dxfId="14" priority="10" stopIfTrue="1" operator="equal">
      <formula>"ต้องปรับปรุง"</formula>
    </cfRule>
    <cfRule type="cellIs" dxfId="13" priority="11" stopIfTrue="1" operator="equal">
      <formula>"ต้องปรับปรุงเร่งด่วน"</formula>
    </cfRule>
    <cfRule type="cellIs" dxfId="12" priority="12" stopIfTrue="1" operator="equal">
      <formula>"ต้องปรับปรุงเร่งด่วน"</formula>
    </cfRule>
  </conditionalFormatting>
  <conditionalFormatting sqref="F20:F23 F25">
    <cfRule type="cellIs" dxfId="11" priority="5" stopIfTrue="1" operator="equal">
      <formula>"ต้องปรับปรุงเร่งด่วน"</formula>
    </cfRule>
    <cfRule type="cellIs" dxfId="10" priority="6" stopIfTrue="1" operator="equal">
      <formula>"ต้องปรับปรุง"</formula>
    </cfRule>
    <cfRule type="cellIs" dxfId="9" priority="7" stopIfTrue="1" operator="equal">
      <formula>"ต้องปรับปรุงเร่งด่วน"</formula>
    </cfRule>
    <cfRule type="cellIs" dxfId="8" priority="8" stopIfTrue="1" operator="equal">
      <formula>"ต้องปรับปรุงเร่งด่วน"</formula>
    </cfRule>
  </conditionalFormatting>
  <conditionalFormatting sqref="F20">
    <cfRule type="cellIs" dxfId="7" priority="1" stopIfTrue="1" operator="equal">
      <formula>"ต้องปรับปรุงเร่งด่วน"</formula>
    </cfRule>
    <cfRule type="cellIs" dxfId="6" priority="2" stopIfTrue="1" operator="equal">
      <formula>"ต้องปรับปรุง"</formula>
    </cfRule>
    <cfRule type="cellIs" dxfId="5" priority="3" stopIfTrue="1" operator="equal">
      <formula>"ต้องปรับปรุงเร่งด่วน"</formula>
    </cfRule>
    <cfRule type="cellIs" dxfId="4" priority="4" stopIfTrue="1" operator="equal">
      <formula>"ต้องปรับปรุงเร่งด่วน"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G42"/>
  <sheetViews>
    <sheetView topLeftCell="A32" workbookViewId="0">
      <selection activeCell="D39" sqref="D39"/>
    </sheetView>
  </sheetViews>
  <sheetFormatPr defaultRowHeight="23.25"/>
  <cols>
    <col min="1" max="1" width="5" style="96" customWidth="1"/>
    <col min="2" max="2" width="31.375" style="120" customWidth="1"/>
    <col min="3" max="3" width="9.25" style="120" customWidth="1"/>
    <col min="4" max="4" width="9.5" style="120" customWidth="1"/>
    <col min="5" max="5" width="9.125" style="120" customWidth="1"/>
    <col min="6" max="6" width="11.125" style="121" customWidth="1"/>
    <col min="7" max="7" width="39.125" style="122" customWidth="1"/>
    <col min="8" max="16384" width="9" style="96"/>
  </cols>
  <sheetData>
    <row r="1" spans="1:7" ht="27.75">
      <c r="A1" s="310" t="s">
        <v>170</v>
      </c>
      <c r="B1" s="138"/>
      <c r="C1" s="138"/>
      <c r="D1" s="138"/>
      <c r="E1" s="138"/>
      <c r="F1" s="138"/>
      <c r="G1" s="96"/>
    </row>
    <row r="2" spans="1:7" ht="24">
      <c r="B2" s="97" t="s">
        <v>96</v>
      </c>
      <c r="C2" s="99">
        <f>'ป 2'!B2</f>
        <v>0</v>
      </c>
      <c r="D2" s="96"/>
      <c r="E2" s="96"/>
      <c r="F2" s="96"/>
      <c r="G2" s="96"/>
    </row>
    <row r="3" spans="1:7" ht="24" hidden="1">
      <c r="B3" s="97"/>
      <c r="C3" s="99" t="s">
        <v>97</v>
      </c>
      <c r="D3" s="96"/>
      <c r="E3" s="96"/>
      <c r="F3" s="96"/>
      <c r="G3" s="97" t="s">
        <v>102</v>
      </c>
    </row>
    <row r="4" spans="1:7" ht="24" hidden="1">
      <c r="B4" s="100"/>
      <c r="C4" s="99" t="s">
        <v>98</v>
      </c>
      <c r="D4" s="96"/>
      <c r="E4" s="96"/>
      <c r="F4" s="96"/>
      <c r="G4" s="97" t="s">
        <v>99</v>
      </c>
    </row>
    <row r="5" spans="1:7" ht="24" hidden="1">
      <c r="B5" s="101"/>
      <c r="C5" s="96"/>
      <c r="D5" s="96"/>
      <c r="E5" s="96"/>
      <c r="F5" s="96"/>
      <c r="G5" s="97" t="s">
        <v>100</v>
      </c>
    </row>
    <row r="6" spans="1:7" ht="24" hidden="1">
      <c r="B6" s="101"/>
      <c r="C6" s="99" t="s">
        <v>101</v>
      </c>
      <c r="D6" s="101"/>
      <c r="E6" s="101"/>
      <c r="F6" s="96"/>
      <c r="G6" s="96"/>
    </row>
    <row r="7" spans="1:7" hidden="1">
      <c r="B7" s="595"/>
      <c r="C7" s="595"/>
      <c r="D7" s="595"/>
      <c r="E7" s="595"/>
      <c r="F7" s="595"/>
      <c r="G7" s="595"/>
    </row>
    <row r="8" spans="1:7" ht="26.25" customHeight="1">
      <c r="A8" s="617" t="s">
        <v>107</v>
      </c>
      <c r="B8" s="618"/>
      <c r="C8" s="623" t="s">
        <v>0</v>
      </c>
      <c r="D8" s="624"/>
      <c r="E8" s="624"/>
      <c r="F8" s="625"/>
      <c r="G8" s="621" t="s">
        <v>109</v>
      </c>
    </row>
    <row r="9" spans="1:7" ht="27.75" customHeight="1">
      <c r="A9" s="619"/>
      <c r="B9" s="620"/>
      <c r="C9" s="323" t="s">
        <v>78</v>
      </c>
      <c r="D9" s="323" t="s">
        <v>77</v>
      </c>
      <c r="E9" s="323" t="s">
        <v>76</v>
      </c>
      <c r="F9" s="324" t="s">
        <v>108</v>
      </c>
      <c r="G9" s="622"/>
    </row>
    <row r="10" spans="1:7" s="105" customFormat="1" ht="47.25" customHeight="1">
      <c r="A10" s="629" t="s">
        <v>8</v>
      </c>
      <c r="B10" s="630"/>
      <c r="C10" s="108"/>
      <c r="D10" s="108"/>
      <c r="E10" s="108"/>
      <c r="F10" s="139"/>
      <c r="G10" s="140"/>
    </row>
    <row r="11" spans="1:7" s="106" customFormat="1" ht="27.75">
      <c r="A11" s="141"/>
      <c r="B11" s="142" t="s">
        <v>9</v>
      </c>
      <c r="C11" s="351">
        <v>0</v>
      </c>
      <c r="D11" s="351">
        <v>0</v>
      </c>
      <c r="E11" s="351">
        <v>0</v>
      </c>
      <c r="F11" s="351">
        <v>0</v>
      </c>
      <c r="G11" s="349" t="s">
        <v>164</v>
      </c>
    </row>
    <row r="12" spans="1:7" s="106" customFormat="1" ht="27.75">
      <c r="A12" s="143"/>
      <c r="B12" s="144" t="s">
        <v>10</v>
      </c>
      <c r="C12" s="352">
        <v>0</v>
      </c>
      <c r="D12" s="352">
        <v>0</v>
      </c>
      <c r="E12" s="352">
        <v>0</v>
      </c>
      <c r="F12" s="352">
        <v>0</v>
      </c>
      <c r="G12" s="350" t="s">
        <v>164</v>
      </c>
    </row>
    <row r="13" spans="1:7" s="106" customFormat="1" ht="27.75">
      <c r="A13" s="143"/>
      <c r="B13" s="144" t="s">
        <v>11</v>
      </c>
      <c r="C13" s="103">
        <v>0</v>
      </c>
      <c r="D13" s="103">
        <f>+'ป 5-1'!G12</f>
        <v>2</v>
      </c>
      <c r="E13" s="103">
        <v>0</v>
      </c>
      <c r="F13" s="103">
        <f>+'ป 5-1'!I12</f>
        <v>2</v>
      </c>
      <c r="G13" s="104" t="str">
        <f>IF(F13&lt;1.51,"ต้องปรับปรุงเร่งด่วน",IF(F13&lt;2.51,"ต้องปรับปรุง",IF(F13&lt;3.51,"พอใช้",IF(F13&lt;4.51,"ดี",IF(F13&gt;=4.51,"ดีมาก")))))</f>
        <v>ต้องปรับปรุง</v>
      </c>
    </row>
    <row r="14" spans="1:7" s="106" customFormat="1" ht="27.75">
      <c r="A14" s="143"/>
      <c r="B14" s="144" t="s">
        <v>12</v>
      </c>
      <c r="C14" s="103">
        <v>0</v>
      </c>
      <c r="D14" s="103">
        <f>+'ป 5-1'!G27</f>
        <v>4.333333333333333</v>
      </c>
      <c r="E14" s="103">
        <v>0</v>
      </c>
      <c r="F14" s="103">
        <f>+'ป 5-1'!I27</f>
        <v>4.333333333333333</v>
      </c>
      <c r="G14" s="104" t="str">
        <f>IF(F14&lt;1.51,"ต้องปรับปรุงเร่งด่วน",IF(F14&lt;2.51,"ต้องปรับปรุง",IF(F14&lt;3.51,"พอใช้",IF(F14&lt;4.51,"ดี",IF(F14&gt;=4.51,"ดีมาก")))))</f>
        <v>ดี</v>
      </c>
    </row>
    <row r="15" spans="1:7" s="106" customFormat="1" ht="27.75">
      <c r="A15" s="143"/>
      <c r="B15" s="144" t="s">
        <v>13</v>
      </c>
      <c r="C15" s="103">
        <v>0</v>
      </c>
      <c r="D15" s="103">
        <f>+'ป 5-1'!G28</f>
        <v>4</v>
      </c>
      <c r="E15" s="103">
        <v>0</v>
      </c>
      <c r="F15" s="103">
        <f>+'ป 5-1'!I28</f>
        <v>4</v>
      </c>
      <c r="G15" s="104" t="str">
        <f>IF(F15&lt;1.51,"ต้องปรับปรุงเร่งด่วน",IF(F15&lt;2.51,"ต้องปรับปรุง",IF(F15&lt;3.51,"พอใช้",IF(F15&lt;4.51,"ดี",IF(F15&gt;=4.51,"ดีมาก")))))</f>
        <v>ดี</v>
      </c>
    </row>
    <row r="16" spans="1:7" s="106" customFormat="1" ht="47.25" customHeight="1">
      <c r="A16" s="629" t="s">
        <v>14</v>
      </c>
      <c r="B16" s="630"/>
      <c r="C16" s="123"/>
      <c r="D16" s="123"/>
      <c r="E16" s="123"/>
      <c r="F16" s="123"/>
      <c r="G16" s="110"/>
    </row>
    <row r="17" spans="1:7" s="106" customFormat="1" ht="27.75">
      <c r="A17" s="141"/>
      <c r="B17" s="142" t="s">
        <v>15</v>
      </c>
      <c r="C17" s="351">
        <v>0</v>
      </c>
      <c r="D17" s="351">
        <v>0</v>
      </c>
      <c r="E17" s="351">
        <v>0</v>
      </c>
      <c r="F17" s="351">
        <v>0</v>
      </c>
      <c r="G17" s="128" t="s">
        <v>164</v>
      </c>
    </row>
    <row r="18" spans="1:7" s="106" customFormat="1" ht="27.75">
      <c r="A18" s="143"/>
      <c r="B18" s="144" t="s">
        <v>16</v>
      </c>
      <c r="C18" s="352">
        <v>0</v>
      </c>
      <c r="D18" s="352">
        <v>0</v>
      </c>
      <c r="E18" s="352">
        <v>0</v>
      </c>
      <c r="F18" s="352">
        <v>0</v>
      </c>
      <c r="G18" s="104" t="s">
        <v>164</v>
      </c>
    </row>
    <row r="19" spans="1:7" s="105" customFormat="1" ht="27.75">
      <c r="A19" s="143"/>
      <c r="B19" s="144" t="s">
        <v>17</v>
      </c>
      <c r="C19" s="352">
        <v>0</v>
      </c>
      <c r="D19" s="352">
        <v>0</v>
      </c>
      <c r="E19" s="352">
        <v>0</v>
      </c>
      <c r="F19" s="352">
        <v>0</v>
      </c>
      <c r="G19" s="104" t="s">
        <v>164</v>
      </c>
    </row>
    <row r="20" spans="1:7" s="107" customFormat="1" ht="27.75">
      <c r="A20" s="143"/>
      <c r="B20" s="144" t="s">
        <v>18</v>
      </c>
      <c r="C20" s="352">
        <v>0</v>
      </c>
      <c r="D20" s="352">
        <v>0</v>
      </c>
      <c r="E20" s="352">
        <v>0</v>
      </c>
      <c r="F20" s="352">
        <v>0</v>
      </c>
      <c r="G20" s="104" t="s">
        <v>164</v>
      </c>
    </row>
    <row r="21" spans="1:7" s="111" customFormat="1" ht="28.5" thickBot="1">
      <c r="A21" s="143"/>
      <c r="B21" s="144" t="s">
        <v>19</v>
      </c>
      <c r="C21" s="352">
        <v>0</v>
      </c>
      <c r="D21" s="352">
        <v>0</v>
      </c>
      <c r="E21" s="352">
        <v>0</v>
      </c>
      <c r="F21" s="352">
        <v>0</v>
      </c>
      <c r="G21" s="104" t="s">
        <v>164</v>
      </c>
    </row>
    <row r="22" spans="1:7" s="116" customFormat="1" ht="30.75">
      <c r="A22" s="626" t="s">
        <v>3</v>
      </c>
      <c r="B22" s="627"/>
      <c r="C22" s="115"/>
      <c r="D22" s="115"/>
      <c r="E22" s="115"/>
      <c r="F22" s="115"/>
      <c r="G22" s="115"/>
    </row>
    <row r="23" spans="1:7" ht="31.5" thickBot="1">
      <c r="A23" s="631" t="s">
        <v>109</v>
      </c>
      <c r="B23" s="632"/>
      <c r="C23" s="118">
        <v>0</v>
      </c>
      <c r="D23" s="118">
        <f>+'ป 5-1'!G39</f>
        <v>4</v>
      </c>
      <c r="E23" s="118">
        <v>0</v>
      </c>
      <c r="F23" s="118">
        <f>+'ป 5-1'!I39</f>
        <v>4</v>
      </c>
      <c r="G23" s="137" t="str">
        <f>IF(F23&lt;1.51,"ต้องปรับปรุงเร่งด่วน",IF(F23&lt;2.51,"ต้องปรับปรุง",IF(F23&lt;3.51,"พอใช้",IF(F23&lt;4.51,"ดี",IF(F23&gt;=4.51,"ดีมาก")))))</f>
        <v>ดี</v>
      </c>
    </row>
    <row r="26" spans="1:7" ht="27.75">
      <c r="A26" s="617" t="s">
        <v>107</v>
      </c>
      <c r="B26" s="618"/>
      <c r="C26" s="628" t="s">
        <v>187</v>
      </c>
      <c r="D26" s="628"/>
      <c r="E26" s="628"/>
      <c r="F26" s="628"/>
      <c r="G26" s="621" t="s">
        <v>109</v>
      </c>
    </row>
    <row r="27" spans="1:7" ht="23.25" customHeight="1">
      <c r="A27" s="619"/>
      <c r="B27" s="620"/>
      <c r="C27" s="323" t="s">
        <v>78</v>
      </c>
      <c r="D27" s="323" t="s">
        <v>77</v>
      </c>
      <c r="E27" s="323" t="s">
        <v>76</v>
      </c>
      <c r="F27" s="324" t="s">
        <v>108</v>
      </c>
      <c r="G27" s="622"/>
    </row>
    <row r="28" spans="1:7" ht="48" customHeight="1">
      <c r="A28" s="629" t="s">
        <v>8</v>
      </c>
      <c r="B28" s="630"/>
      <c r="C28" s="108"/>
      <c r="D28" s="108"/>
      <c r="E28" s="108"/>
      <c r="F28" s="139"/>
      <c r="G28" s="140"/>
    </row>
    <row r="29" spans="1:7" ht="24">
      <c r="A29" s="141"/>
      <c r="B29" s="142" t="s">
        <v>9</v>
      </c>
      <c r="C29" s="351">
        <f>'ป 5-1'!J7</f>
        <v>0</v>
      </c>
      <c r="D29" s="351">
        <v>0</v>
      </c>
      <c r="E29" s="351">
        <v>0</v>
      </c>
      <c r="F29" s="351">
        <f>'ป 5-1'!M7</f>
        <v>0</v>
      </c>
      <c r="G29" s="349" t="s">
        <v>164</v>
      </c>
    </row>
    <row r="30" spans="1:7" ht="24">
      <c r="A30" s="143"/>
      <c r="B30" s="144" t="s">
        <v>10</v>
      </c>
      <c r="C30" s="352">
        <f>'ป 5-1'!J9</f>
        <v>0</v>
      </c>
      <c r="D30" s="352">
        <f>'ป 5-1'!K9</f>
        <v>0</v>
      </c>
      <c r="E30" s="352">
        <f>'ป 5-1'!L9</f>
        <v>0</v>
      </c>
      <c r="F30" s="352">
        <f>'ป 5-1'!M9</f>
        <v>0</v>
      </c>
      <c r="G30" s="350" t="s">
        <v>164</v>
      </c>
    </row>
    <row r="31" spans="1:7" ht="24">
      <c r="A31" s="143"/>
      <c r="B31" s="144" t="s">
        <v>11</v>
      </c>
      <c r="C31" s="103">
        <v>0</v>
      </c>
      <c r="D31" s="103">
        <f>+'ป 5-1'!K12</f>
        <v>2</v>
      </c>
      <c r="E31" s="103">
        <v>0</v>
      </c>
      <c r="F31" s="103">
        <f>+'ป 5-1'!M12</f>
        <v>2</v>
      </c>
      <c r="G31" s="104" t="str">
        <f>IF(F31&lt;1.51,"ต้องปรับปรุงเร่งด่วน",IF(F31&lt;2.51,"ต้องปรับปรุง",IF(F31&lt;3.51,"พอใช้",IF(F31&lt;4.51,"ดี",IF(F31&gt;=4.51,"ดีมาก")))))</f>
        <v>ต้องปรับปรุง</v>
      </c>
    </row>
    <row r="32" spans="1:7" ht="24">
      <c r="A32" s="143"/>
      <c r="B32" s="144" t="s">
        <v>12</v>
      </c>
      <c r="C32" s="103">
        <v>0</v>
      </c>
      <c r="D32" s="103">
        <f>+'ป 5-1'!K27</f>
        <v>4.4285714285714288</v>
      </c>
      <c r="E32" s="103">
        <f>+'ป 5-1'!L27</f>
        <v>4.4850000000000003</v>
      </c>
      <c r="F32" s="103">
        <f>+'ป 5-1'!M27</f>
        <v>4.4546153846153844</v>
      </c>
      <c r="G32" s="104" t="str">
        <f>IF(F32&lt;1.51,"ต้องปรับปรุงเร่งด่วน",IF(F32&lt;2.51,"ต้องปรับปรุง",IF(F32&lt;3.51,"พอใช้",IF(F32&lt;4.51,"ดี",IF(F32&gt;=4.51,"ดีมาก")))))</f>
        <v>ดี</v>
      </c>
    </row>
    <row r="33" spans="1:7" ht="24">
      <c r="A33" s="143"/>
      <c r="B33" s="144" t="s">
        <v>13</v>
      </c>
      <c r="C33" s="103">
        <v>0</v>
      </c>
      <c r="D33" s="103">
        <f>+'ป 5-1'!K28</f>
        <v>4.125</v>
      </c>
      <c r="E33" s="103">
        <f>+'ป 5-1'!L28</f>
        <v>4.4850000000000003</v>
      </c>
      <c r="F33" s="103">
        <f>+'ป 5-1'!M28</f>
        <v>4.2792857142857139</v>
      </c>
      <c r="G33" s="104" t="str">
        <f>IF(F33&lt;1.51,"ต้องปรับปรุงเร่งด่วน",IF(F33&lt;2.51,"ต้องปรับปรุง",IF(F33&lt;3.51,"พอใช้",IF(F33&lt;4.51,"ดี",IF(F33&gt;=4.51,"ดีมาก")))))</f>
        <v>ดี</v>
      </c>
    </row>
    <row r="34" spans="1:7" ht="46.5" customHeight="1">
      <c r="A34" s="629" t="s">
        <v>14</v>
      </c>
      <c r="B34" s="630"/>
      <c r="C34" s="123"/>
      <c r="D34" s="123"/>
      <c r="E34" s="123"/>
      <c r="F34" s="123"/>
      <c r="G34" s="110"/>
    </row>
    <row r="35" spans="1:7" ht="24">
      <c r="A35" s="141"/>
      <c r="B35" s="142" t="s">
        <v>15</v>
      </c>
      <c r="C35" s="351">
        <v>0</v>
      </c>
      <c r="D35" s="351">
        <v>0</v>
      </c>
      <c r="E35" s="351">
        <v>0</v>
      </c>
      <c r="F35" s="351">
        <v>0</v>
      </c>
      <c r="G35" s="128" t="s">
        <v>164</v>
      </c>
    </row>
    <row r="36" spans="1:7" ht="24">
      <c r="A36" s="143"/>
      <c r="B36" s="144" t="s">
        <v>16</v>
      </c>
      <c r="C36" s="352">
        <v>0</v>
      </c>
      <c r="D36" s="352">
        <v>0</v>
      </c>
      <c r="E36" s="352">
        <v>0</v>
      </c>
      <c r="F36" s="352">
        <v>0</v>
      </c>
      <c r="G36" s="104" t="s">
        <v>164</v>
      </c>
    </row>
    <row r="37" spans="1:7" ht="24">
      <c r="A37" s="143"/>
      <c r="B37" s="144" t="s">
        <v>17</v>
      </c>
      <c r="C37" s="352">
        <v>0</v>
      </c>
      <c r="D37" s="352">
        <v>0</v>
      </c>
      <c r="E37" s="352">
        <v>0</v>
      </c>
      <c r="F37" s="352">
        <v>0</v>
      </c>
      <c r="G37" s="104" t="s">
        <v>164</v>
      </c>
    </row>
    <row r="38" spans="1:7" ht="24">
      <c r="A38" s="143"/>
      <c r="B38" s="144" t="s">
        <v>18</v>
      </c>
      <c r="C38" s="352">
        <v>0</v>
      </c>
      <c r="D38" s="352">
        <v>0</v>
      </c>
      <c r="E38" s="352">
        <v>0</v>
      </c>
      <c r="F38" s="352">
        <v>0</v>
      </c>
      <c r="G38" s="104" t="s">
        <v>164</v>
      </c>
    </row>
    <row r="39" spans="1:7" ht="24.75" thickBot="1">
      <c r="A39" s="143"/>
      <c r="B39" s="144" t="s">
        <v>19</v>
      </c>
      <c r="C39" s="352">
        <v>0</v>
      </c>
      <c r="D39" s="352">
        <v>0</v>
      </c>
      <c r="E39" s="352">
        <v>0</v>
      </c>
      <c r="F39" s="352">
        <v>0</v>
      </c>
      <c r="G39" s="104" t="s">
        <v>164</v>
      </c>
    </row>
    <row r="40" spans="1:7" ht="30.75">
      <c r="A40" s="626" t="s">
        <v>3</v>
      </c>
      <c r="B40" s="627"/>
      <c r="C40" s="115"/>
      <c r="D40" s="115"/>
      <c r="E40" s="115"/>
      <c r="F40" s="115"/>
      <c r="G40" s="115"/>
    </row>
    <row r="41" spans="1:7" ht="31.5" thickBot="1">
      <c r="A41" s="631" t="s">
        <v>109</v>
      </c>
      <c r="B41" s="632"/>
      <c r="C41" s="118">
        <v>0</v>
      </c>
      <c r="D41" s="118">
        <f>+'ป 5-1'!K39</f>
        <v>4.125</v>
      </c>
      <c r="E41" s="118">
        <f>+'ป 5-1'!L39</f>
        <v>4.4850000000000003</v>
      </c>
      <c r="F41" s="118">
        <f>+'ป 5-1'!M39</f>
        <v>4.2792857142857139</v>
      </c>
      <c r="G41" s="137" t="str">
        <f>IF(F41&lt;1.51,"ต้องปรับปรุงเร่งด่วน",IF(F41&lt;2.51,"ต้องปรับปรุง",IF(F41&lt;3.51,"พอใช้",IF(F41&lt;4.51,"ดี",IF(F41&gt;=4.51,"ดีมาก")))))</f>
        <v>ดี</v>
      </c>
    </row>
    <row r="42" spans="1:7">
      <c r="A42" s="120"/>
    </row>
  </sheetData>
  <mergeCells count="15">
    <mergeCell ref="A40:B40"/>
    <mergeCell ref="C26:F26"/>
    <mergeCell ref="A10:B10"/>
    <mergeCell ref="A41:B41"/>
    <mergeCell ref="A28:B28"/>
    <mergeCell ref="A34:B34"/>
    <mergeCell ref="A22:B22"/>
    <mergeCell ref="A23:B23"/>
    <mergeCell ref="A26:B27"/>
    <mergeCell ref="A16:B16"/>
    <mergeCell ref="A8:B9"/>
    <mergeCell ref="G8:G9"/>
    <mergeCell ref="G26:G27"/>
    <mergeCell ref="C8:F8"/>
    <mergeCell ref="B7:G7"/>
  </mergeCells>
  <phoneticPr fontId="2" type="noConversion"/>
  <conditionalFormatting sqref="G41 G23 G11:G21 G29:G39">
    <cfRule type="cellIs" dxfId="3" priority="5" stopIfTrue="1" operator="equal">
      <formula>"ต้องปรับปรุงเร่งด่วน"</formula>
    </cfRule>
    <cfRule type="cellIs" dxfId="2" priority="6" stopIfTrue="1" operator="equal">
      <formula>"ต้องปรับปรุง"</formula>
    </cfRule>
    <cfRule type="cellIs" dxfId="1" priority="7" stopIfTrue="1" operator="equal">
      <formula>"ต้องปรับปรุงเร่งด่วน"</formula>
    </cfRule>
    <cfRule type="cellIs" dxfId="0" priority="8" stopIfTrue="1" operator="equal">
      <formula>"ต้องปรับปรุงเร่งด่วน"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3</vt:i4>
      </vt:variant>
    </vt:vector>
  </HeadingPairs>
  <TitlesOfParts>
    <vt:vector size="16" baseType="lpstr">
      <vt:lpstr>เป้าหมาย</vt:lpstr>
      <vt:lpstr>ข้อมูลฐาน</vt:lpstr>
      <vt:lpstr>ป1-สนอ.</vt:lpstr>
      <vt:lpstr>ป1-สน.วิท</vt:lpstr>
      <vt:lpstr>ป1-สน.คอม</vt:lpstr>
      <vt:lpstr>ป 2</vt:lpstr>
      <vt:lpstr>ป 3</vt:lpstr>
      <vt:lpstr>ป 4</vt:lpstr>
      <vt:lpstr>ป5</vt:lpstr>
      <vt:lpstr>ป 2-1</vt:lpstr>
      <vt:lpstr>ป 3-1</vt:lpstr>
      <vt:lpstr>ป 4-1</vt:lpstr>
      <vt:lpstr>ป 5-1</vt:lpstr>
      <vt:lpstr>ข้อมูลฐาน!Print_Titles</vt:lpstr>
      <vt:lpstr>'ป1-สนอ.'!Print_Titles</vt:lpstr>
      <vt:lpstr>เป้าหมาย!Print_Titles</vt:lpstr>
    </vt:vector>
  </TitlesOfParts>
  <Company>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USER</cp:lastModifiedBy>
  <cp:lastPrinted>2014-07-09T03:40:08Z</cp:lastPrinted>
  <dcterms:created xsi:type="dcterms:W3CDTF">2010-09-20T22:58:30Z</dcterms:created>
  <dcterms:modified xsi:type="dcterms:W3CDTF">2014-07-17T08:59:13Z</dcterms:modified>
</cp:coreProperties>
</file>