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120" yWindow="45" windowWidth="15135" windowHeight="8130" activeTab="1"/>
  </bookViews>
  <sheets>
    <sheet name="กลยุทธ์" sheetId="1" r:id="rId1"/>
    <sheet name="ปรับตัวชี้วัด" sheetId="13" r:id="rId2"/>
    <sheet name="รายละเอียดโครงการ" sheetId="12" r:id="rId3"/>
    <sheet name="Sheet1" sheetId="31" r:id="rId4"/>
    <sheet name="งบประมาณรายคณะ" sheetId="30" r:id="rId5"/>
    <sheet name="Sheet3" sheetId="33" r:id="rId6"/>
    <sheet name="งบประมาณตามโครงการหลัก" sheetId="32" r:id="rId7"/>
    <sheet name="ฐานข้อมูล" sheetId="14" r:id="rId8"/>
    <sheet name="Sheet2" sheetId="34" r:id="rId9"/>
  </sheets>
  <definedNames>
    <definedName name="_xlnm._FilterDatabase" localSheetId="7" hidden="1">ฐานข้อมูล!$A$4:$J$220</definedName>
    <definedName name="_xlnm._FilterDatabase" localSheetId="1" hidden="1">ปรับตัวชี้วัด!$A$5:$T$179</definedName>
    <definedName name="_xlnm._FilterDatabase" localSheetId="2" hidden="1">รายละเอียดโครงการ!$J$1:$J$262</definedName>
    <definedName name="_xlnm.Print_Titles" localSheetId="5">Sheet3!$2:$3</definedName>
    <definedName name="_xlnm.Print_Titles" localSheetId="0">กลยุทธ์!$3:$4</definedName>
    <definedName name="_xlnm.Print_Titles" localSheetId="1">ปรับตัวชี้วัด!$3:$4</definedName>
    <definedName name="_xlnm.Print_Titles" localSheetId="2">รายละเอียดโครงการ!$3:$4</definedName>
  </definedNames>
  <calcPr calcId="125725"/>
  <pivotCaches>
    <pivotCache cacheId="5" r:id="rId10"/>
  </pivotCaches>
</workbook>
</file>

<file path=xl/calcChain.xml><?xml version="1.0" encoding="utf-8"?>
<calcChain xmlns="http://schemas.openxmlformats.org/spreadsheetml/2006/main">
  <c r="I68" i="12"/>
  <c r="I69"/>
  <c r="I70"/>
  <c r="N50" i="13"/>
  <c r="M50"/>
  <c r="L50"/>
  <c r="J50"/>
  <c r="H50"/>
  <c r="H49" i="14"/>
  <c r="I49"/>
  <c r="I157"/>
  <c r="H157"/>
  <c r="G157"/>
  <c r="F157"/>
  <c r="I128"/>
  <c r="H128"/>
  <c r="F128"/>
  <c r="I124"/>
  <c r="H124"/>
  <c r="G124"/>
  <c r="F116"/>
  <c r="G116"/>
  <c r="H116"/>
  <c r="I116"/>
  <c r="G112"/>
  <c r="H112" s="1"/>
  <c r="I112" s="1"/>
  <c r="I54"/>
  <c r="H54"/>
  <c r="G54"/>
  <c r="G49"/>
  <c r="F49"/>
  <c r="I33"/>
  <c r="H33"/>
  <c r="G33"/>
  <c r="F33"/>
  <c r="I22"/>
  <c r="H22"/>
  <c r="G22"/>
  <c r="F22"/>
  <c r="F21"/>
  <c r="G21"/>
  <c r="H21"/>
  <c r="I21"/>
  <c r="I70"/>
  <c r="H70"/>
  <c r="I84"/>
  <c r="H84"/>
  <c r="G84"/>
  <c r="F84"/>
  <c r="I108"/>
  <c r="H108"/>
  <c r="G108"/>
  <c r="F108"/>
  <c r="E108"/>
  <c r="I137"/>
  <c r="H137"/>
  <c r="G137"/>
  <c r="F137"/>
  <c r="I163"/>
  <c r="H163"/>
  <c r="G163"/>
  <c r="F163"/>
  <c r="E163"/>
  <c r="I197"/>
  <c r="H197"/>
  <c r="G197"/>
  <c r="F197"/>
  <c r="F214"/>
  <c r="G214" s="1"/>
  <c r="H214" s="1"/>
  <c r="I214" s="1"/>
  <c r="F193"/>
  <c r="G193" s="1"/>
  <c r="H193" s="1"/>
  <c r="I193" s="1"/>
  <c r="F182"/>
  <c r="G182" s="1"/>
  <c r="H182" s="1"/>
  <c r="I182" s="1"/>
  <c r="E155"/>
  <c r="F155"/>
  <c r="G155" s="1"/>
  <c r="H155" s="1"/>
  <c r="I155" s="1"/>
  <c r="F133"/>
  <c r="G133" s="1"/>
  <c r="H133" s="1"/>
  <c r="I133" s="1"/>
  <c r="F102"/>
  <c r="G102" s="1"/>
  <c r="H102" s="1"/>
  <c r="I102" s="1"/>
  <c r="F76"/>
  <c r="G76" s="1"/>
  <c r="H76" s="1"/>
  <c r="I76" s="1"/>
  <c r="F67"/>
  <c r="G67" s="1"/>
  <c r="H67" s="1"/>
  <c r="I67" s="1"/>
  <c r="E40"/>
  <c r="F40" s="1"/>
  <c r="G40" s="1"/>
  <c r="H40" s="1"/>
  <c r="I40" s="1"/>
  <c r="I29"/>
  <c r="H29"/>
  <c r="G29"/>
  <c r="F29"/>
  <c r="E29"/>
  <c r="F20"/>
  <c r="G20" s="1"/>
  <c r="H20" s="1"/>
  <c r="I20" s="1"/>
  <c r="J220"/>
  <c r="J219"/>
  <c r="J218"/>
  <c r="J217"/>
  <c r="J216"/>
  <c r="J215"/>
  <c r="J213"/>
  <c r="J212"/>
  <c r="J211"/>
  <c r="J210"/>
  <c r="J209"/>
  <c r="J208"/>
  <c r="J207"/>
  <c r="J206"/>
  <c r="J205"/>
  <c r="J204"/>
  <c r="J203"/>
  <c r="J202"/>
  <c r="J201"/>
  <c r="J200"/>
  <c r="J199"/>
  <c r="J198"/>
  <c r="J196"/>
  <c r="J195"/>
  <c r="J194"/>
  <c r="J192"/>
  <c r="J191"/>
  <c r="J190"/>
  <c r="J189"/>
  <c r="J188"/>
  <c r="J187"/>
  <c r="J186"/>
  <c r="J185"/>
  <c r="J184"/>
  <c r="J183"/>
  <c r="J181"/>
  <c r="J180"/>
  <c r="J179"/>
  <c r="J178"/>
  <c r="J177"/>
  <c r="J176"/>
  <c r="J171"/>
  <c r="J170"/>
  <c r="J169"/>
  <c r="J168"/>
  <c r="J167"/>
  <c r="J166"/>
  <c r="J165"/>
  <c r="J164"/>
  <c r="J162"/>
  <c r="J161"/>
  <c r="J160"/>
  <c r="J159"/>
  <c r="J158"/>
  <c r="J156"/>
  <c r="J154"/>
  <c r="J152"/>
  <c r="J151"/>
  <c r="J150"/>
  <c r="J149"/>
  <c r="J148"/>
  <c r="J147"/>
  <c r="J146"/>
  <c r="J145"/>
  <c r="J143"/>
  <c r="J140"/>
  <c r="J139"/>
  <c r="J138"/>
  <c r="J135"/>
  <c r="J134"/>
  <c r="J132"/>
  <c r="J131"/>
  <c r="J130"/>
  <c r="J129"/>
  <c r="J127"/>
  <c r="J126"/>
  <c r="J125"/>
  <c r="J123"/>
  <c r="J122"/>
  <c r="J121"/>
  <c r="J120"/>
  <c r="J119"/>
  <c r="J118"/>
  <c r="J117"/>
  <c r="J115"/>
  <c r="J114"/>
  <c r="J113"/>
  <c r="J109"/>
  <c r="J107"/>
  <c r="J106"/>
  <c r="J105"/>
  <c r="J104"/>
  <c r="J103"/>
  <c r="J101"/>
  <c r="J99"/>
  <c r="J98"/>
  <c r="J97"/>
  <c r="J96"/>
  <c r="J94"/>
  <c r="J93"/>
  <c r="J92"/>
  <c r="J91"/>
  <c r="J90"/>
  <c r="J89"/>
  <c r="J88"/>
  <c r="J87"/>
  <c r="J86"/>
  <c r="J85"/>
  <c r="J83"/>
  <c r="J82"/>
  <c r="J81"/>
  <c r="J80"/>
  <c r="J79"/>
  <c r="J78"/>
  <c r="J77"/>
  <c r="J75"/>
  <c r="J74"/>
  <c r="J73"/>
  <c r="J72"/>
  <c r="J71"/>
  <c r="J69"/>
  <c r="J68"/>
  <c r="J65"/>
  <c r="J64"/>
  <c r="J63"/>
  <c r="J62"/>
  <c r="J61"/>
  <c r="J60"/>
  <c r="J59"/>
  <c r="J58"/>
  <c r="J56"/>
  <c r="J55"/>
  <c r="J54"/>
  <c r="J53"/>
  <c r="J52"/>
  <c r="J51"/>
  <c r="J50"/>
  <c r="J48"/>
  <c r="J47"/>
  <c r="J46"/>
  <c r="J45"/>
  <c r="J44"/>
  <c r="J43"/>
  <c r="J42"/>
  <c r="J41"/>
  <c r="J39"/>
  <c r="J38"/>
  <c r="J37"/>
  <c r="J36"/>
  <c r="J35"/>
  <c r="J34"/>
  <c r="J33"/>
  <c r="J28"/>
  <c r="J27"/>
  <c r="J26"/>
  <c r="J25"/>
  <c r="J24"/>
  <c r="J23"/>
  <c r="J18"/>
  <c r="J17"/>
  <c r="J16"/>
  <c r="J15"/>
  <c r="J14"/>
  <c r="J13"/>
  <c r="J12"/>
  <c r="J10"/>
  <c r="J9"/>
  <c r="J8"/>
  <c r="J7"/>
  <c r="J6"/>
  <c r="I175"/>
  <c r="H175"/>
  <c r="J175" s="1"/>
  <c r="E174"/>
  <c r="J174" s="1"/>
  <c r="F173"/>
  <c r="J173" s="1"/>
  <c r="F172"/>
  <c r="J172" s="1"/>
  <c r="F142"/>
  <c r="J142" s="1"/>
  <c r="E112"/>
  <c r="I110"/>
  <c r="F57"/>
  <c r="J57" s="1"/>
  <c r="E128"/>
  <c r="J128" s="1"/>
  <c r="E124"/>
  <c r="J124" s="1"/>
  <c r="E66"/>
  <c r="J66" s="1"/>
  <c r="E31"/>
  <c r="J31" s="1"/>
  <c r="E30"/>
  <c r="J30" s="1"/>
  <c r="E5"/>
  <c r="E100"/>
  <c r="J100" s="1"/>
  <c r="E95"/>
  <c r="J95" s="1"/>
  <c r="E157"/>
  <c r="J157" s="1"/>
  <c r="E116"/>
  <c r="J116" s="1"/>
  <c r="E49"/>
  <c r="J49" s="1"/>
  <c r="E22"/>
  <c r="J22" s="1"/>
  <c r="E21"/>
  <c r="J21" s="1"/>
  <c r="E136"/>
  <c r="J136" s="1"/>
  <c r="F32"/>
  <c r="G32" s="1"/>
  <c r="H32" s="1"/>
  <c r="I32" s="1"/>
  <c r="F19"/>
  <c r="G19" s="1"/>
  <c r="H19" s="1"/>
  <c r="I19" s="1"/>
  <c r="E11" i="12"/>
  <c r="E5" s="1"/>
  <c r="F11" i="14"/>
  <c r="G11" s="1"/>
  <c r="H11" s="1"/>
  <c r="D11" i="12"/>
  <c r="E34"/>
  <c r="D34" s="1"/>
  <c r="E20"/>
  <c r="D20" s="1"/>
  <c r="I20" s="1"/>
  <c r="D176"/>
  <c r="D138"/>
  <c r="E144" i="14"/>
  <c r="G144"/>
  <c r="H144" s="1"/>
  <c r="I144" s="1"/>
  <c r="F176" i="12"/>
  <c r="G176" s="1"/>
  <c r="H176" s="1"/>
  <c r="I176" s="1"/>
  <c r="F138"/>
  <c r="G138" s="1"/>
  <c r="H138" s="1"/>
  <c r="F34"/>
  <c r="G34" s="1"/>
  <c r="H34" s="1"/>
  <c r="F20"/>
  <c r="G20" s="1"/>
  <c r="H20" s="1"/>
  <c r="F11"/>
  <c r="G11" s="1"/>
  <c r="G5" s="1"/>
  <c r="E231"/>
  <c r="F231" s="1"/>
  <c r="G231" s="1"/>
  <c r="H231" s="1"/>
  <c r="H235"/>
  <c r="G235"/>
  <c r="F235"/>
  <c r="E235"/>
  <c r="F251"/>
  <c r="I251" s="1"/>
  <c r="E248"/>
  <c r="D248"/>
  <c r="E249"/>
  <c r="D249"/>
  <c r="D242" s="1"/>
  <c r="E218"/>
  <c r="F218" s="1"/>
  <c r="G218" s="1"/>
  <c r="H218" s="1"/>
  <c r="H210"/>
  <c r="G210"/>
  <c r="H198"/>
  <c r="G198"/>
  <c r="F198"/>
  <c r="E198"/>
  <c r="D198"/>
  <c r="E208"/>
  <c r="E207"/>
  <c r="I207" s="1"/>
  <c r="D209"/>
  <c r="E205"/>
  <c r="D205"/>
  <c r="E204"/>
  <c r="D204"/>
  <c r="E203"/>
  <c r="D203"/>
  <c r="E202"/>
  <c r="D202"/>
  <c r="E192"/>
  <c r="F192"/>
  <c r="G192"/>
  <c r="H192"/>
  <c r="D192"/>
  <c r="D190"/>
  <c r="E190" s="1"/>
  <c r="F190" s="1"/>
  <c r="G190" s="1"/>
  <c r="H190" s="1"/>
  <c r="E174"/>
  <c r="I174" s="1"/>
  <c r="H169"/>
  <c r="G169"/>
  <c r="F169"/>
  <c r="E169"/>
  <c r="D168"/>
  <c r="I168" s="1"/>
  <c r="E165"/>
  <c r="F165" s="1"/>
  <c r="G165" s="1"/>
  <c r="H165" s="1"/>
  <c r="H135"/>
  <c r="H133"/>
  <c r="G133"/>
  <c r="F133"/>
  <c r="E133"/>
  <c r="D133"/>
  <c r="E127"/>
  <c r="F127" s="1"/>
  <c r="G127" s="1"/>
  <c r="H127" s="1"/>
  <c r="D125"/>
  <c r="I125" s="1"/>
  <c r="H143"/>
  <c r="H140" s="1"/>
  <c r="G143"/>
  <c r="F143"/>
  <c r="F140" s="1"/>
  <c r="D143"/>
  <c r="E143"/>
  <c r="H153"/>
  <c r="G153"/>
  <c r="F153"/>
  <c r="D153"/>
  <c r="H158"/>
  <c r="G158"/>
  <c r="G157" s="1"/>
  <c r="E158"/>
  <c r="E157" s="1"/>
  <c r="D158"/>
  <c r="D118"/>
  <c r="I118" s="1"/>
  <c r="H105"/>
  <c r="G105"/>
  <c r="F105"/>
  <c r="E105"/>
  <c r="E97"/>
  <c r="F97" s="1"/>
  <c r="G97" s="1"/>
  <c r="H97" s="1"/>
  <c r="H89"/>
  <c r="G89"/>
  <c r="E86"/>
  <c r="F86" s="1"/>
  <c r="G86" s="1"/>
  <c r="H86" s="1"/>
  <c r="D85"/>
  <c r="I85" s="1"/>
  <c r="H32"/>
  <c r="G32"/>
  <c r="E32"/>
  <c r="D32"/>
  <c r="H25"/>
  <c r="G25"/>
  <c r="F25"/>
  <c r="E25"/>
  <c r="D25"/>
  <c r="E24"/>
  <c r="F24"/>
  <c r="G24"/>
  <c r="H24"/>
  <c r="D24"/>
  <c r="E23"/>
  <c r="F23" s="1"/>
  <c r="G23" s="1"/>
  <c r="H23" s="1"/>
  <c r="H58"/>
  <c r="G58"/>
  <c r="E61"/>
  <c r="H37"/>
  <c r="G37"/>
  <c r="F37"/>
  <c r="E37"/>
  <c r="E53"/>
  <c r="F53"/>
  <c r="G53"/>
  <c r="H53"/>
  <c r="D53"/>
  <c r="D44"/>
  <c r="E44" s="1"/>
  <c r="F44" s="1"/>
  <c r="G44" s="1"/>
  <c r="H44" s="1"/>
  <c r="I260"/>
  <c r="I259"/>
  <c r="I258"/>
  <c r="I257"/>
  <c r="I256"/>
  <c r="I255"/>
  <c r="I252"/>
  <c r="I250"/>
  <c r="I247"/>
  <c r="I246"/>
  <c r="I245"/>
  <c r="I244"/>
  <c r="I243"/>
  <c r="I241"/>
  <c r="I240"/>
  <c r="I239"/>
  <c r="I238"/>
  <c r="I237"/>
  <c r="I236"/>
  <c r="I234"/>
  <c r="I233"/>
  <c r="I232"/>
  <c r="I230"/>
  <c r="I227"/>
  <c r="I226"/>
  <c r="I225"/>
  <c r="I224"/>
  <c r="I223"/>
  <c r="I222"/>
  <c r="I221"/>
  <c r="I220"/>
  <c r="I219"/>
  <c r="I217"/>
  <c r="I216"/>
  <c r="I214"/>
  <c r="I213"/>
  <c r="I212"/>
  <c r="I211"/>
  <c r="I209"/>
  <c r="I206"/>
  <c r="I201"/>
  <c r="I200"/>
  <c r="I199"/>
  <c r="I197"/>
  <c r="I196"/>
  <c r="I195"/>
  <c r="I194"/>
  <c r="I193"/>
  <c r="I191"/>
  <c r="I189"/>
  <c r="I187"/>
  <c r="I186"/>
  <c r="I185"/>
  <c r="I182"/>
  <c r="I181"/>
  <c r="I180"/>
  <c r="I179"/>
  <c r="I177"/>
  <c r="I175"/>
  <c r="I172"/>
  <c r="I171"/>
  <c r="I170"/>
  <c r="I167"/>
  <c r="I166"/>
  <c r="I164"/>
  <c r="I163"/>
  <c r="I162"/>
  <c r="I159"/>
  <c r="I156"/>
  <c r="I155"/>
  <c r="I154"/>
  <c r="I152"/>
  <c r="I150"/>
  <c r="I149"/>
  <c r="I148"/>
  <c r="I146"/>
  <c r="I145"/>
  <c r="I144"/>
  <c r="I142"/>
  <c r="I141"/>
  <c r="I139"/>
  <c r="I137"/>
  <c r="I134"/>
  <c r="I132"/>
  <c r="I131"/>
  <c r="I130"/>
  <c r="I129"/>
  <c r="I128"/>
  <c r="I126"/>
  <c r="I121"/>
  <c r="I120"/>
  <c r="I119"/>
  <c r="I116"/>
  <c r="I115"/>
  <c r="I114"/>
  <c r="I113"/>
  <c r="I112"/>
  <c r="I111"/>
  <c r="I110"/>
  <c r="I108"/>
  <c r="I107"/>
  <c r="I106"/>
  <c r="I104"/>
  <c r="I103"/>
  <c r="I102"/>
  <c r="I101"/>
  <c r="I100"/>
  <c r="I99"/>
  <c r="I98"/>
  <c r="I96"/>
  <c r="I93"/>
  <c r="I92"/>
  <c r="I91"/>
  <c r="I90"/>
  <c r="I88"/>
  <c r="I87"/>
  <c r="I84"/>
  <c r="I83"/>
  <c r="I67"/>
  <c r="I66"/>
  <c r="I65"/>
  <c r="I64"/>
  <c r="I63"/>
  <c r="I62"/>
  <c r="I61"/>
  <c r="I60"/>
  <c r="I59"/>
  <c r="I57"/>
  <c r="I56"/>
  <c r="I55"/>
  <c r="I54"/>
  <c r="I52"/>
  <c r="I51"/>
  <c r="I50"/>
  <c r="I49"/>
  <c r="I48"/>
  <c r="I47"/>
  <c r="I46"/>
  <c r="I45"/>
  <c r="I43"/>
  <c r="I42"/>
  <c r="I41"/>
  <c r="I40"/>
  <c r="I39"/>
  <c r="I38"/>
  <c r="I35"/>
  <c r="I33"/>
  <c r="I31"/>
  <c r="I30"/>
  <c r="I29"/>
  <c r="I28"/>
  <c r="I27"/>
  <c r="I26"/>
  <c r="I21"/>
  <c r="I19"/>
  <c r="I18"/>
  <c r="I17"/>
  <c r="I16"/>
  <c r="I15"/>
  <c r="I14"/>
  <c r="I12"/>
  <c r="I10"/>
  <c r="I9"/>
  <c r="I8"/>
  <c r="I7"/>
  <c r="D6"/>
  <c r="D5" s="1"/>
  <c r="J5" i="14"/>
  <c r="E153"/>
  <c r="F153" s="1"/>
  <c r="F141"/>
  <c r="J141" s="1"/>
  <c r="F124"/>
  <c r="I111"/>
  <c r="J111" s="1"/>
  <c r="F110"/>
  <c r="J110" s="1"/>
  <c r="D253" i="12"/>
  <c r="F242"/>
  <c r="G242"/>
  <c r="H242"/>
  <c r="D229"/>
  <c r="D215"/>
  <c r="E178"/>
  <c r="F178"/>
  <c r="G178"/>
  <c r="H178"/>
  <c r="D178"/>
  <c r="F157"/>
  <c r="H157"/>
  <c r="D157"/>
  <c r="E147"/>
  <c r="F147"/>
  <c r="G147"/>
  <c r="H147"/>
  <c r="D147"/>
  <c r="E140"/>
  <c r="G140"/>
  <c r="D140"/>
  <c r="E117"/>
  <c r="F117"/>
  <c r="G117"/>
  <c r="H117"/>
  <c r="E109"/>
  <c r="F109"/>
  <c r="G109"/>
  <c r="H109"/>
  <c r="D109"/>
  <c r="D95"/>
  <c r="D82"/>
  <c r="D94" s="1"/>
  <c r="E11" i="14" l="1"/>
  <c r="E19"/>
  <c r="J19" s="1"/>
  <c r="E32"/>
  <c r="F5" i="12"/>
  <c r="J144" i="14"/>
  <c r="J32"/>
  <c r="J70"/>
  <c r="J84"/>
  <c r="J108"/>
  <c r="J137"/>
  <c r="J163"/>
  <c r="J197"/>
  <c r="J29"/>
  <c r="J112"/>
  <c r="J155"/>
  <c r="I11"/>
  <c r="J11" s="1"/>
  <c r="H11" i="12"/>
  <c r="H5" s="1"/>
  <c r="I192"/>
  <c r="I202"/>
  <c r="I204"/>
  <c r="I248"/>
  <c r="I109"/>
  <c r="I147"/>
  <c r="D261"/>
  <c r="I24"/>
  <c r="I143"/>
  <c r="I6"/>
  <c r="I178"/>
  <c r="D117"/>
  <c r="I53"/>
  <c r="I210"/>
  <c r="I249"/>
  <c r="I235"/>
  <c r="E242"/>
  <c r="I242" s="1"/>
  <c r="I198"/>
  <c r="I208"/>
  <c r="I205"/>
  <c r="I203"/>
  <c r="I169"/>
  <c r="I133"/>
  <c r="D124"/>
  <c r="I140"/>
  <c r="I157"/>
  <c r="I158"/>
  <c r="I105"/>
  <c r="I89"/>
  <c r="I32"/>
  <c r="I25"/>
  <c r="D22"/>
  <c r="I58"/>
  <c r="I37"/>
  <c r="F281" i="14"/>
  <c r="J133"/>
  <c r="E280"/>
  <c r="E281" s="1"/>
  <c r="G153"/>
  <c r="E173" i="12"/>
  <c r="I173" s="1"/>
  <c r="H136"/>
  <c r="I136" s="1"/>
  <c r="E135"/>
  <c r="I135" s="1"/>
  <c r="I5" l="1"/>
  <c r="J102" i="14"/>
  <c r="J182"/>
  <c r="I117" i="12"/>
  <c r="D123"/>
  <c r="G281" i="14"/>
  <c r="H153"/>
  <c r="J67"/>
  <c r="J214"/>
  <c r="J193"/>
  <c r="J76"/>
  <c r="J20"/>
  <c r="H281" l="1"/>
  <c r="J40"/>
  <c r="I153"/>
  <c r="J153" s="1"/>
  <c r="E254" i="12"/>
  <c r="F254" s="1"/>
  <c r="G254" s="1"/>
  <c r="H254" s="1"/>
  <c r="D188"/>
  <c r="E153"/>
  <c r="I153" s="1"/>
  <c r="I281" i="14" l="1"/>
  <c r="J281" s="1"/>
  <c r="I44" i="12"/>
  <c r="E188"/>
  <c r="D184"/>
  <c r="D228" s="1"/>
  <c r="E95"/>
  <c r="E123" s="1"/>
  <c r="E215"/>
  <c r="E253"/>
  <c r="E82"/>
  <c r="E94" s="1"/>
  <c r="E124"/>
  <c r="E229"/>
  <c r="E22"/>
  <c r="E261" l="1"/>
  <c r="I165"/>
  <c r="I190"/>
  <c r="F229"/>
  <c r="F124"/>
  <c r="F82"/>
  <c r="F94" s="1"/>
  <c r="F253"/>
  <c r="F215"/>
  <c r="F95"/>
  <c r="F123" s="1"/>
  <c r="F188"/>
  <c r="E184"/>
  <c r="E228" s="1"/>
  <c r="D161"/>
  <c r="F22"/>
  <c r="D151" l="1"/>
  <c r="D160" s="1"/>
  <c r="D183"/>
  <c r="F261"/>
  <c r="G188"/>
  <c r="F184"/>
  <c r="F228" s="1"/>
  <c r="G95"/>
  <c r="G123" s="1"/>
  <c r="H215"/>
  <c r="G215"/>
  <c r="H253"/>
  <c r="G253"/>
  <c r="H82"/>
  <c r="H94" s="1"/>
  <c r="G82"/>
  <c r="H124"/>
  <c r="G124"/>
  <c r="H229"/>
  <c r="G229"/>
  <c r="D36"/>
  <c r="H22"/>
  <c r="G22"/>
  <c r="H261" l="1"/>
  <c r="G261"/>
  <c r="I254"/>
  <c r="I253"/>
  <c r="I229"/>
  <c r="I124"/>
  <c r="I215"/>
  <c r="H95"/>
  <c r="I97"/>
  <c r="I82"/>
  <c r="G94"/>
  <c r="I22"/>
  <c r="I23"/>
  <c r="I127"/>
  <c r="I218"/>
  <c r="I231"/>
  <c r="I86"/>
  <c r="D13"/>
  <c r="E161"/>
  <c r="E183" s="1"/>
  <c r="H188"/>
  <c r="H184" s="1"/>
  <c r="H228" s="1"/>
  <c r="G184"/>
  <c r="G228" s="1"/>
  <c r="I228" l="1"/>
  <c r="I94"/>
  <c r="I95"/>
  <c r="H123"/>
  <c r="I261"/>
  <c r="D81"/>
  <c r="I184"/>
  <c r="I188"/>
  <c r="E151"/>
  <c r="H161"/>
  <c r="F161"/>
  <c r="F151" l="1"/>
  <c r="F160" s="1"/>
  <c r="F183"/>
  <c r="E36"/>
  <c r="E160"/>
  <c r="D262"/>
  <c r="H151"/>
  <c r="H160" s="1"/>
  <c r="H183"/>
  <c r="I123"/>
  <c r="E13"/>
  <c r="F36"/>
  <c r="G161"/>
  <c r="E81" l="1"/>
  <c r="G151"/>
  <c r="G183"/>
  <c r="I183" s="1"/>
  <c r="I161"/>
  <c r="F13"/>
  <c r="F81" s="1"/>
  <c r="G36"/>
  <c r="H36"/>
  <c r="E262" l="1"/>
  <c r="F262"/>
  <c r="I151"/>
  <c r="G160"/>
  <c r="H13"/>
  <c r="H81" s="1"/>
  <c r="G13"/>
  <c r="G81" s="1"/>
  <c r="I36"/>
  <c r="I81" l="1"/>
  <c r="H262"/>
  <c r="I160"/>
  <c r="I13"/>
  <c r="G262"/>
  <c r="I262" l="1"/>
</calcChain>
</file>

<file path=xl/comments1.xml><?xml version="1.0" encoding="utf-8"?>
<comments xmlns="http://schemas.openxmlformats.org/spreadsheetml/2006/main">
  <authors>
    <author>plan</author>
  </authors>
  <commentList>
    <comment ref="C5" authorId="0">
      <text>
        <r>
          <rPr>
            <b/>
            <sz val="8"/>
            <color indexed="81"/>
            <rFont val="Tahoma"/>
            <family val="2"/>
          </rPr>
          <t>plan: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ตัวบ่งชี้ที่ 2.9.2</t>
        </r>
      </text>
    </comment>
    <comment ref="C18" authorId="0">
      <text>
        <r>
          <rPr>
            <b/>
            <sz val="8"/>
            <color indexed="81"/>
            <rFont val="Tahoma"/>
            <family val="2"/>
          </rPr>
          <t>plan: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ตัวบ่งชี้ ตามการประเมินคุณภาพภายนอกระดับอุดมศึกษา รอบสาม ของ สมศ.</t>
        </r>
      </text>
    </comment>
    <comment ref="C23" authorId="0">
      <text>
        <r>
          <rPr>
            <b/>
            <sz val="8"/>
            <color indexed="81"/>
            <rFont val="Tahoma"/>
            <family val="2"/>
          </rPr>
          <t>plan: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ตัวบ่งชี้ตามแผนยุทธศาสตร์ ปี 54</t>
        </r>
      </text>
    </comment>
    <comment ref="C36" authorId="0">
      <text>
        <r>
          <rPr>
            <b/>
            <sz val="8"/>
            <color indexed="81"/>
            <rFont val="Tahoma"/>
            <family val="2"/>
          </rPr>
          <t>plan: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ตัวบ่งชี้ที่ 2.9.1</t>
        </r>
      </text>
    </comment>
    <comment ref="C49" authorId="0">
      <text>
        <r>
          <rPr>
            <b/>
            <sz val="14"/>
            <color indexed="81"/>
            <rFont val="Tahoma"/>
            <family val="2"/>
          </rPr>
          <t>plan:</t>
        </r>
        <r>
          <rPr>
            <sz val="14"/>
            <color indexed="81"/>
            <rFont val="Tahoma"/>
            <family val="2"/>
          </rPr>
          <t xml:space="preserve">
ตัวบ่งชี้และค่าเป้าหมาย เป็นไปตามที่ทำความตกลงกับสำนักงบประมาณ ตามเอกสารงบประมาณ พ.ศ. 2555</t>
        </r>
      </text>
    </comment>
    <comment ref="C89" authorId="0">
      <text>
        <r>
          <rPr>
            <b/>
            <sz val="14"/>
            <color indexed="81"/>
            <rFont val="Tahoma"/>
            <family val="2"/>
          </rPr>
          <t>plan:</t>
        </r>
        <r>
          <rPr>
            <sz val="14"/>
            <color indexed="81"/>
            <rFont val="Tahoma"/>
            <family val="2"/>
          </rPr>
          <t xml:space="preserve">
เกณฑ์ข้อที่ 6 ของตัวบ่งชี้ที่ 2.6 ระบบและกลไกการจัดการเรียนการสอน</t>
        </r>
      </text>
    </comment>
    <comment ref="C115" authorId="0">
      <text>
        <r>
          <rPr>
            <b/>
            <sz val="14"/>
            <color indexed="81"/>
            <rFont val="Tahoma"/>
            <family val="2"/>
          </rPr>
          <t>plan:</t>
        </r>
        <r>
          <rPr>
            <sz val="14"/>
            <color indexed="81"/>
            <rFont val="Tahoma"/>
            <family val="2"/>
          </rPr>
          <t xml:space="preserve">
ตัวชี้วัดและค่าเป้าหมาย เป็นไปตามที่ทำความตกลงกับสำนักงบประมาณ ตามเอกสารงบประมาณ พ.ศ. 2555</t>
        </r>
      </text>
    </comment>
    <comment ref="C167" authorId="0">
      <text>
        <r>
          <rPr>
            <sz val="14"/>
            <color indexed="81"/>
            <rFont val="Tahoma"/>
            <family val="2"/>
          </rPr>
          <t>ปรับข้อความจากเดิม คือ "มีการสุ่มประเมินผลกระทบ (impact) ต่อชุมชนและสังคมของโครงการบริการวิชาการ" ให้เป็นไปตามตัวบ่งชี้และค่าเป้าหมาย เป็นไปตามที่ทำความตกลงกับสำนักงบประมาณ ตามเอกสารงบประมาณ พ.ศ. 2555</t>
        </r>
      </text>
    </comment>
  </commentList>
</comments>
</file>

<file path=xl/comments2.xml><?xml version="1.0" encoding="utf-8"?>
<comments xmlns="http://schemas.openxmlformats.org/spreadsheetml/2006/main">
  <authors>
    <author>plan</author>
  </authors>
  <commentList>
    <comment ref="C126" authorId="0">
      <text>
        <r>
          <rPr>
            <b/>
            <sz val="8"/>
            <color indexed="81"/>
            <rFont val="Tahoma"/>
            <family val="2"/>
          </rPr>
          <t>plan: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ตัวชี้วัดนี้ เป็นตัวชี้วัดที่คณะทำงานเสนอ มิใช่ ซึ่งเป็นตัวชี้วัดในระดับกระบวนการ ยังมิได้เป็นตัวชี้วัดที่จะวัดผลสำเร็จระดับผลผลิต หรือ ผลลัพธ์</t>
        </r>
      </text>
    </comment>
  </commentList>
</comments>
</file>

<file path=xl/comments3.xml><?xml version="1.0" encoding="utf-8"?>
<comments xmlns="http://schemas.openxmlformats.org/spreadsheetml/2006/main">
  <authors>
    <author>plan</author>
  </authors>
  <commentList>
    <comment ref="C101" authorId="0">
      <text>
        <r>
          <rPr>
            <b/>
            <sz val="8"/>
            <color indexed="81"/>
            <rFont val="Tahoma"/>
            <family val="2"/>
          </rPr>
          <t>plan: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ตัวชี้วัดนี้ เป็นตัวชี้วัดที่คณะทำงานเสนอ มิใช่ ซึ่งเป็นตัวชี้วัดในระดับกระบวนการ ยังมิได้เป็นตัวชี้วัดที่จะวัดผลสำเร็จระดับผลผลิต หรือ ผลลัพธ์</t>
        </r>
      </text>
    </comment>
  </commentList>
</comments>
</file>

<file path=xl/sharedStrings.xml><?xml version="1.0" encoding="utf-8"?>
<sst xmlns="http://schemas.openxmlformats.org/spreadsheetml/2006/main" count="1653" uniqueCount="425">
  <si>
    <t>สรุปการวิเคราะห์ความสอดคล้องแผนกลยุทธ์คณะเทียบกับแผนกลยุทธ์มหาวิทยาลัย</t>
  </si>
  <si>
    <t>กลยุทธ์มหาวิทยาลัย</t>
  </si>
  <si>
    <t>บริหารศาสตร์</t>
  </si>
  <si>
    <t>๓. พัฒนาขีดความสามารถด้านการวิจัยเพื่อยกระดับสู่การเป็นมหาวิทยาลัยวิจัยระดับชาติและภูมิภาคลุ่มน้ำโขง โดยพัฒนาโครงสร้างพื้นฐานเพื่อ</t>
  </si>
  <si>
    <t>๔. ให้บริการวิชาการและถ่ายทอดเทคโนโลยีเพื่อยกระดับคุณภาพชีวิตที่ดีของประชาชนในเขตอีสานใต้และภูมิภาคลุ่มแม่น้ำโขง โดยเสริมสร้างความ</t>
  </si>
  <si>
    <t>๕. สืบสาน เผยแผ่ ฟื้นฟูและอนุรักษ์ศิลปวัฒนธรรม ขนบธรรมเนียมประเพณีท้องถิ่น รวมทั้งเรียนรู้วัฒนธรรมของประเทศในอาเซียน โดยศึกษา ค้นคว้า วิจัย รวบรวมและจัดการความรู้ให้นักศึกษาและบุคลากรตระหนักถึงคุณค่าของศิลปวัฒนธรรม ประวัติศาสตร์ และภูมิปัญญาท้องถิ่น</t>
  </si>
  <si>
    <t>๖. พัฒนาระบบบริหารจัดการที่มีธรรมาภิบาลใช้ข้อมูลเป็นฐานในการตัดสินใจ โดยพัฒนาระบบสารสนเทศเพื่อการบริหาร และพัฒนาระบบประกันคุณภาพการศึกษา</t>
  </si>
  <si>
    <t>๗. พัฒนาระบบบริหารทรัพยากรมนุษย์ที่มุ่งเน้นผลสัมฤทธิ์ โดยให้บุคลากรมีวัฒนธรรมแห่งการเรียนรู้ เพื่อการทำงานได้เต็มตามศักยภาพอย่างมีความสุข โดยพัฒนาระบบสมรรถนะของบุคลากรและผู้บริหารทุกระดับ สร้างเสริมสวัสดิการและสวัสดิภาพให้บุคลากร ส่งเสริมและสนับสนุนความก้าวหน้าของบุคลากร และการจัดการความรู้เพื่อนำไปสู่การปฏิบัติงานอย่างมีประสิทธิภาพ</t>
  </si>
  <si>
    <t xml:space="preserve">๓. พัฒนาขีดความสามารถด้านการวิจัยและงานสร้างสรรค์ที่สามารถนำไปประยุกต์ใช้ในการพัฒนาท้องถิ่นและประเทศเพื่อยกระดับสู่การเป็นวิจัยและงานสร้างสรรค์ระดับชาติและภูมิภาคลุ่มน้ำโขง โดยพัฒนาโครงสร้างพื้นฐานเพื่อส่งเสริมการวิจัย และส่งเสริมและสนับสนุนความร่วมมือด้านการวิจัยกับหน่วยงานทั้งในและต่างประเทศ  </t>
  </si>
  <si>
    <t>๔. ให้บริการวิชาการและถ่ายทอดความรู้เทคโนโลยีในสาขาศิลปประยุกต์และการออกแบบ  เพื่อส่งเสริมมูลค่าเพิ่มทางเศรษฐกิจ  และพัฒนาสังคมชุมชน  ขยายไปสู่สังคมในภูมิภาคลุ่มน้ำโขงและอาเซียน และเชื่อมโยงกลับสู่การเรียนการสอน การวิจัย และการทำนุบำรุงศิลปวัฒนธรรม และสร้างเครือข่ายความร่วมมือกับทุกภาคส่วน</t>
  </si>
  <si>
    <t xml:space="preserve">๕. สืบสาน เผยแผ่ ฟื้นฟูและอนุรักษ์ศิลปวัฒนธรรมและจริยธรรมอันดีงานให้คงอยู่  โดยศึกษา ค้นคว้า วิจัย รวบรวมและจัดการความรู้ให้นักศึกษาและบุคลากร  เกี่ยวกับความหลากหลายของวัฒนธรรมในภูมิภาคลุ่มน้ำโขง และอาเซียน  สืบทอดองค์ความรู้และนำมาใช้ประโยชน์ให้กับสังคมปัจจุบันและอนาคต  </t>
  </si>
  <si>
    <t>2. พัฒนาอาจารย์ให้สามารถจัดการเรียนรู้อย่างมีประสิทธิภาพและพัฒนาตนเองให้พร้อมทันต่อพลวัตรของสังคม โดยส่งเสริมและสนับสนุนให้ทำวิจัยและพัฒนานวัตกรรมการจัดการเรียนรู้ และพัฒนาสมรรถนะด้านวิชาการในระดับสากล</t>
  </si>
  <si>
    <t>คณะ/สำนัก</t>
  </si>
  <si>
    <t>งบประมาณ</t>
  </si>
  <si>
    <t>วิทยาเขตมุกดาหาร</t>
  </si>
  <si>
    <t>โครงการผลิตบัณฑิตด้านวิทยาศาสตร์และเทคโนโลยี</t>
  </si>
  <si>
    <t>โครงการพัฒนาระบบกลไกการบริหารงานวิจัยของมหาวิทยาลัย</t>
  </si>
  <si>
    <t>โครงการบริการวิชาการของมหาวิทยาลัย</t>
  </si>
  <si>
    <t xml:space="preserve">โครงการพัฒนาระบบและกลไกการบริหารงานทำนุบำรุงศิลปวัฒนธรรม </t>
  </si>
  <si>
    <t>โครงการพัฒนาระบบฐานข้อมูลสารสนเทศเพื่อการบริหารจัดการ</t>
  </si>
  <si>
    <t>โครงการระบบสาธารณูปโภคและโครงสร้างพื้นฐานของมหาวิทยาลัย</t>
  </si>
  <si>
    <t>คณะเภสัชศาสตร์</t>
  </si>
  <si>
    <t>-</t>
  </si>
  <si>
    <t xml:space="preserve">โครงการจัดการความรู้ คณะเภสัชศาสตร์ </t>
  </si>
  <si>
    <t>วิทยาลัยแพทยศาสตร์และการสาธารณสุข</t>
  </si>
  <si>
    <t>โครงการพัฒนากระบวนการจัดการเรียนรู้ที่เน้นผู้เรียนเป็นสำคัญ หลักสูตรวิทยาศาสตรบัณฑิต (สาขาวิชาสาธารณสุขศาสตร์)</t>
  </si>
  <si>
    <t>โครงการพัฒนากระบวนการจัดการเรียนรู้ที่เน้นผู้เรียนเป็นสำคัญ หลักสูตรแพทยศาสตร์บัณฑิต</t>
  </si>
  <si>
    <t>โครงการจัดหาครุภัณฑ์และสิงก่อสร้าง</t>
  </si>
  <si>
    <t>โครงการพัฒนาหลักสูตร</t>
  </si>
  <si>
    <t xml:space="preserve">โครงการประชาสัมพันธ์หลักสูตรฯ 
</t>
  </si>
  <si>
    <t xml:space="preserve">โครงการพัฒนาระบบสนับสนุนการเรียนการสอน ห้องสมุด ,ห้องปฏิบัติการ LAB, ห้องปฏิบัติการคอมพิวเตอร์ </t>
  </si>
  <si>
    <t>โครงการสร้างเครือข่ายความร่วมมือระหว่างสถาบัน การศึกษา หน่วยราชการ และองค์กรเอกชน ทั้งในและต่างประเทศ โดยเน้นความร่วมมือแบบบูรณาการเป็นหลัก</t>
  </si>
  <si>
    <t>โครงการสร้างเสริมสุขภาพโดยใช้ชุมชนเป็นฐานการเรียนรู้</t>
  </si>
  <si>
    <t>โครงการแลกเปลี่ยน /เผยแพร่/ประกวดผลงานนักศึกษาอย่างสม่ำเสมอและต่อเนื่องทั้งใน
ระดับภูมิภาคระดับชาติ และระดับนานาชาติ</t>
  </si>
  <si>
    <t>โครงการพัฒนาบุคลากร</t>
  </si>
  <si>
    <t>โครงการสนับสนุนให้อาจารย์มีระดับคุณวุฒิทางการศึกษาและตำแหน่งทางวิชาการในสัดส่วนตามเกณฑ์คุณภาพการศึกษา</t>
  </si>
  <si>
    <t>โครงการสันสนันทุนพัฒนาอาจารย์เพื่อศึกษาต่อ</t>
  </si>
  <si>
    <t>โครงการพัฒนาระบบกลไกการบริหารงานวิจัยของวิทยาลัยฯ</t>
  </si>
  <si>
    <t>โครงการพัฒนาระบบและกลไกการบริหารงานบริการวิชาการของวิทยาลัยฯ</t>
  </si>
  <si>
    <t>โครงการสนับสนุนการสร้างเสริมสุขภาวะและบริการสุขภาพ</t>
  </si>
  <si>
    <t>โครงการที่มีข้อตกลงความร่วมมือและเป็นที่ปรึกษาให้กับชุมชน และองค์กรต่างๆ</t>
  </si>
  <si>
    <t>โครงการอบรมทางการแพทย์และสุขภาพ</t>
  </si>
  <si>
    <t>โครงการเรียนฟรี 15 ปี</t>
  </si>
  <si>
    <t>โครงการพัฒนาศักยภาพกระบวนการเรียนรู้ของเด็ก</t>
  </si>
  <si>
    <t>โครงการส่งเสริมและสนับสนุนให้นักศึกษาและบุคลากรด้านศิลปและวัฒนธรรม</t>
  </si>
  <si>
    <t xml:space="preserve">โครงการพัฒนาระบบสารสนเทศเพื่อส่งเสริมการตัดสินใจผู้บริหาร </t>
  </si>
  <si>
    <t>โครงการจัดสวัสดิการสำหรับบุคลากร</t>
  </si>
  <si>
    <t>โครงการพัฒนาระบบฐานข้อมูลทางการเงินที่ถูกต้องทันสมัย โปร่งใส ตรวจสอบได้</t>
  </si>
  <si>
    <t>โครงการพัฒนาระบบการบริหารจัดการ</t>
  </si>
  <si>
    <t>โครงการพัฒนาการประกันคุณภาพการศึกษาสู่ความเป็นเลิศ</t>
  </si>
  <si>
    <t>คณะพยาบาลศาสตร์</t>
  </si>
  <si>
    <t>โครงการผลิตบัณฑิตสาขาพยาบาลศาสตร์</t>
  </si>
  <si>
    <t>โครงการจัดหาทรัพยากรเพื่อสนับสนุนการเรียนการสอน</t>
  </si>
  <si>
    <t>โครงการวิจัยเพื่อความก้าวหน้าทางวิชาการ</t>
  </si>
  <si>
    <t>โครงการสร้างศักยภาพด้านสุขภาพองค์รวมในโรงเรียนตำรวจตระเวนชายแดน</t>
  </si>
  <si>
    <t>โครงการเตรียมความพร้อมนักศึกษาสำหรับการสอบใบประกอบวิชาชีพการพยาบาลและการผดุงครรภ์</t>
  </si>
  <si>
    <t>คณะวิทยาศาสตร์</t>
  </si>
  <si>
    <t>โครงการจัดการศึกษาสาขาวิทยาศาสตร์</t>
  </si>
  <si>
    <t>คณะรัฐศาสตร์</t>
  </si>
  <si>
    <t>โครงการบริการและจัดการหลักสูตรรัฐประศาสนศาสตรบัณฑิต สาขาปกครองท้องถิ่น</t>
  </si>
  <si>
    <t>โครงการบริหารและจัดการคณะรัฐศาสตร์</t>
  </si>
  <si>
    <t>โครงการบริหารและจัดการหลักสูตรรัฐประศาสนศาสตรดุษฎีบัณฑิต</t>
  </si>
  <si>
    <t>โครงการบริหารและจัดการหลักสูตรรัฐประศาสนศาสตรมหาบัณฑิต</t>
  </si>
  <si>
    <t>โครงการสนับสนุนการเรียนการสอนหลักสูตรรัฐประศาสนศาสตรบัณฑิต สาขาบริหารองค์การ</t>
  </si>
  <si>
    <t>โครงการสนับสนุนการเรียนการสอนหลักสูตรรัฐศาสตร์บัณฑิต สาขาการปกครอง</t>
  </si>
  <si>
    <t>โครงการบริหารหลักสูตรรัฐศาสตรมหาบัณฑิต</t>
  </si>
  <si>
    <t>โครงการพัฒนางานวิชาการการศึกษา</t>
  </si>
  <si>
    <t>โครงการพัฒนาศักยภาพนักศึกษาและบริหารความรู้สโมสรนักศึกษาคณะรัฐศาสตร์</t>
  </si>
  <si>
    <t>โครงการพัฒนาอาจารย์และบุคลากรคณะรัฐศาสตร์</t>
  </si>
  <si>
    <t>โครงการส่งเสริมการวิจัยและนำเสนอผลงานทางวิชาการ</t>
  </si>
  <si>
    <t>โครงการให้บริการแก่ชุมชนท้องถิ่นทางด้านการเมืองการปกครอง</t>
  </si>
  <si>
    <t>กิจกรรมการสร้างเครือข่ายด้านการประกันคุณภาพภายในมหาวิทยาลัย,กิจกรรมการสร้างเครือข่ายด้านการประกันคุณภาพระหว่างมหาวิทยาลัย</t>
  </si>
  <si>
    <t>โครงการอนุรักษ์ศิลปวัฒณธรรมท้องถิ่นจังหวัดอุบลราชธานี</t>
  </si>
  <si>
    <t>โครงการบริหารจัดการทั่วไป</t>
  </si>
  <si>
    <t>โครงการจัดหาครุภัณฑ์เพื่อการเรียนการสอนและใช้ในสำนักงาน</t>
  </si>
  <si>
    <t>สำนักคอมพิวเตอร์ฯ</t>
  </si>
  <si>
    <t>คณะบริหารศาสตร์</t>
  </si>
  <si>
    <t>โครงการส่งเสริมและบริหารงานบริการวิชาการ</t>
  </si>
  <si>
    <t>โครงการบริหารและจัดการการศึกษาคณะบริหารศาสตร์</t>
  </si>
  <si>
    <t>คณะนิติศาสตร์</t>
  </si>
  <si>
    <t>โครงการพัฒนาประสิทธิภาพอาจารย์ ระบบงานวิชาการ</t>
  </si>
  <si>
    <t>โครงการงานบริหารงานวิจัย</t>
  </si>
  <si>
    <t>โครงการบริการวิชาการ</t>
  </si>
  <si>
    <t xml:space="preserve">โครงการทำนุบำรุงศิลปวัฒนธรรม </t>
  </si>
  <si>
    <t>โครงการพัฒนาระบบกลไกการบริหารงานวิจัยของคณะศิลปศาสตร์</t>
  </si>
  <si>
    <t>โครงการวิจัยเพื่อแก้ปัญหาและยกระดับคุณภาพชีวิตของชุมชนในท้องถิ่นให้เข้มแข็งและโดดเด่นเป็นชื่อเสียงของคณะศิลปศาสตร์</t>
  </si>
  <si>
    <t>โครงการบริการวิชาการเฉพาะเรื่อง</t>
  </si>
  <si>
    <t>โครงการทำนุบำรุงศิลปวัฒนธรรมเฉพาะเรื่อง</t>
  </si>
  <si>
    <t>โครงการพัฒนาระบบบริหารจัดการที่มีธรรมาภิบาล</t>
  </si>
  <si>
    <t>โครงการวิเทศสัมพันธ์</t>
  </si>
  <si>
    <t>โครงการสำรวจความต้องการของชุมชนท้องถิ่น ภาครัฐ และเอกชน เพื่อการบริหารจัดการที่ตอบสนองความต้องการของผู้มีส่วนได้ส่วนเสีย</t>
  </si>
  <si>
    <t>โครงการจัดการความรู้ของคณะศิลปศาสตร์</t>
  </si>
  <si>
    <t>โครงการพัฒนาสารสนเทศ</t>
  </si>
  <si>
    <t>โครงการสร้างจิตสำนึกการอนุรักษ์พลังงานและสิ่งแวดล้อม</t>
  </si>
  <si>
    <t>คณะวิศวกรรมศาสตร์</t>
  </si>
  <si>
    <t>คณะศิลปประยุกต์และการออกแบบ</t>
  </si>
  <si>
    <t>โครงการส่งเสริมจรรยาบรรณวิชาชีพคณาจารย์ ทั้งในด้านการปฏิบัติตามจรรยาบรรณ การออกกฎ ระเบียบต่างๆ การรณรงค์ส่งเสรมจรรยาบรรรณวิชาชีพอาจารย์</t>
  </si>
  <si>
    <t>สำนักวิทยบริการ</t>
  </si>
  <si>
    <t>โครงการจัดซื้อทรัพยากรสารสนเทศเพื่อสนับสนุนการเรียนการสอน</t>
  </si>
  <si>
    <t>โครงการจัดหาครุภัณฑ์เพื่อสนับสนุนการศึกษา</t>
  </si>
  <si>
    <t>โครงการพัฒนาการวิเคราะห์และจัดหาทรัพยากร</t>
  </si>
  <si>
    <t xml:space="preserve">โครงการพัฒนาห้องสมุดและฝ่ายเทคโนโลยีทางการศึกษาเพื่อเป็นแหล่งเรียนรู้ของนักศึกษามหาวิทยาลัย </t>
  </si>
  <si>
    <t>โครงการบริหารจัดการด้านสาธารณูปโภคสำนักวิทยบริการ</t>
  </si>
  <si>
    <t>โครงการบริหารจัดการเพื่อจ้างบุคลากรโดยใช้เงินงบประมาณแผ่นดิน</t>
  </si>
  <si>
    <t>โครงการบริหารจัดการเพื่อจ้างบุคลากรโดยใช้เงินรายได้สำนักวิทยบริการ</t>
  </si>
  <si>
    <t xml:space="preserve">โครงการจ้างเหมาทำความสะอาด </t>
  </si>
  <si>
    <t xml:space="preserve">โครงการพัฒนาการให้บริการวิชาการสำนักวิทยบริการ </t>
  </si>
  <si>
    <t xml:space="preserve">โครงการบริการวิชาการสำนักวิทยบริการ </t>
  </si>
  <si>
    <t xml:space="preserve">โครงการบริหารจัดการภายในสำนักวิทยบริการ  </t>
  </si>
  <si>
    <t xml:space="preserve">โครงการพัฒนาสำนักวิทยบริการ </t>
  </si>
  <si>
    <t>คณะเกษตรศาสตร์</t>
  </si>
  <si>
    <t>กลยุทธ์</t>
  </si>
  <si>
    <t>เป้าประสงค์</t>
  </si>
  <si>
    <t>๒. พัฒนาอาจารย์ให้สามารถจัดการเรียนรู้อย่างมีประสิทธิภาพและพัฒนาตนเองให้พร้อมทันต่อพลวัตรของสังคม โดยส่งเสริมและสนับสนุนให้ทำวิจัยและพัฒนานวัตกรรมการจัดการเรียนรู้ และพัฒนาสมรรถนะด้านวิชาการในระดับสากล</t>
  </si>
  <si>
    <t>ตัวชี้วัด</t>
  </si>
  <si>
    <t>หน่วย</t>
  </si>
  <si>
    <t>ข้อมูลพื้นฐาน (Based Line)</t>
  </si>
  <si>
    <t>เป้าหมาย (Target)</t>
  </si>
  <si>
    <t>1.1 บัณฑิตมีความรู้ความสามารถ มีคุณธรรมจริยธรรม ใฝ่รู้ และมีสมรรถนะในการประกอบอาชีพ เป็นที่ยอมรับของสังคม และมีความพร้อมเพื่อรองรับการเปิดประชาคมอาเซียน</t>
  </si>
  <si>
    <t>ร้อยละ</t>
  </si>
  <si>
    <t>2.1 อาจารย์มีความสามารถในการจัดการเรียนรู้อย่างมีประสิทธิภาพและพัฒนาตนเองให้พร้อมทันต่อพลวัตรของสังคม</t>
  </si>
  <si>
    <t>3.1 องค์ความรู้ใหม่และผลงานสร้างสรรค์  ที่ถูกนำไปประยุกต์ใช้ในชุมชนภูมิภาคลุ่มน้ำโขง และสร้างความพร้อมสู่การเป็นมหาวิทยาลัยวิจัย</t>
  </si>
  <si>
    <t>4.1 งานบริการวิชาการที่เสริมสร้างความเข้มแข็งของการศึกษาขั้นพื้นฐาน ความมั่นคงในการประกอบอาชีพ และสุขภาวะและบริการสุขภาพเพื่อยกระดับคุณภาพชีวิตของชุมชน</t>
  </si>
  <si>
    <t>คณะศิลปศาสตร์</t>
  </si>
  <si>
    <t xml:space="preserve">โครงการจัดการศึกษาสาขาเกษตรศาสตร์ (สาขาพืชไร่ พืชสวนสัตวศาสตร์ ประมง อุตสาหกรรมเกษตร
  </t>
  </si>
  <si>
    <t>รวมงบประมาณทั้งสิ้น</t>
  </si>
  <si>
    <t>สำนักงานอธิการบดี</t>
  </si>
  <si>
    <t>สำนักคอมพิวเตอร์และเครือข่าย</t>
  </si>
  <si>
    <t xml:space="preserve">โครงการพัฒนาการเรียนการสอนนักศึกษา
</t>
  </si>
  <si>
    <t>โครงการพัฒนาทักษะวิชาการเพิ่มศักยภาพเพื่อสนับสนุนการแข่งขันของนักศึกษา</t>
  </si>
  <si>
    <t>โครงการพัฒนาศักยภาพและเสริมสร้างกิจกรรมคุณธรรมจริยธรรมของนักศึกษาคณะเกษตรศาสตร์</t>
  </si>
  <si>
    <t xml:space="preserve">โครงการส่งเสริมและสนับสนุนการผลิตตำราและผลงานทางวิชาการ </t>
  </si>
  <si>
    <t>โครงการอบรมจัดการเรียนการสอนที่เน้นผู้เรียนเป็นสำคัญและการประเมินผล</t>
  </si>
  <si>
    <t>โครงการอบรมการทำวิจัยในชั้นเรียน</t>
  </si>
  <si>
    <t>โครงการสนับสนุนทุนศึกษา ปัญหาพิเศษระดับปริญญาตรีและทำวิจัยบัณฑิตศึกษา</t>
  </si>
  <si>
    <t>โครงการติดตามและประเมินผลโครงการวิจัย</t>
  </si>
  <si>
    <t>โครงการสนับสนุนทุนวิจัยหน้าใหม่</t>
  </si>
  <si>
    <t>โครงการสมทบทุนนักวิจัยแหล่งทุนภายในและภายนอก</t>
  </si>
  <si>
    <t>โครงการพัฒนาระบบการบริหารงานวิจัยคณะเกษตรศาสตร์</t>
  </si>
  <si>
    <t xml:space="preserve">โครงการเผยแพร่ผลงานทางวิชาการ </t>
  </si>
  <si>
    <t>โครงการวิจัยสร้างองค์ความรู้</t>
  </si>
  <si>
    <t>โครงการวิจัยเพื่อถ่ายทอดเทคโนโลยี</t>
  </si>
  <si>
    <t>โครงการบริการวิชาการสาขาวิทยาศาสตร์</t>
  </si>
  <si>
    <t>โครงการบริการวิชาการสาขาวิศวกรรมศาสตร์</t>
  </si>
  <si>
    <t xml:space="preserve">โครงการบริการวิชาการด้านเกษตรศาสตร์
</t>
  </si>
  <si>
    <t>โครงการติดตามและประเมินผลบริการวิชาการ</t>
  </si>
  <si>
    <t xml:space="preserve">โครงการความร่วมมือระหว่างหน่วยงานทั้งภายในและต่างประเทศ </t>
  </si>
  <si>
    <t>โครงการประชุมสัมมนาวิชาการด้านเกษตรศาสตร์</t>
  </si>
  <si>
    <t>โครงการ ศึกษา ค้นคว้า รวบรวม ฟื้นฟูและอนุรักษ์ศิลปวัฒนธรรม</t>
  </si>
  <si>
    <t>โครงการบริหารและจัดการศึกษาสาขาวิทยาศาสตร์</t>
  </si>
  <si>
    <t>โครงการติดตามประเมินผลการปฏิบัติงานตามแผน</t>
  </si>
  <si>
    <t>โครงการพัฒนาระบบการประกันคุณภาพการศึกษาภายใน</t>
  </si>
  <si>
    <t>โครงการพัฒนาระบบสารสนเทศเพื่อเพิ่มประสิทธิภาพบริหารจัดการ</t>
  </si>
  <si>
    <t>โครงการอบรมเพื่อเพิ่มประสิทธิการใช้เทคโนโลยีสารสนเทศ</t>
  </si>
  <si>
    <t xml:space="preserve">โครงการรับบุคคลากรที่ให้คำปรึกษาด้านสารสนเทศ
</t>
  </si>
  <si>
    <t xml:space="preserve">โครงการเพื่อพัฒนาฐานข้อมูลกลางของมหาวิทยาลัย
</t>
  </si>
  <si>
    <t>โครงการบริหารจัดการการพัฒนาฐานข้อมูลกลางของมหาวิทยาลัย</t>
  </si>
  <si>
    <t>โครงการปรับปรุงอาคารและสถานที่เพื่อการให้บริการ</t>
  </si>
  <si>
    <t>โครงการเพื่อบริหารจัดการด้านสาธารณูปโภคสำนักคอมพิวเตอร์และเครือข่าย</t>
  </si>
  <si>
    <t>โครงการจัดการความรู้</t>
  </si>
  <si>
    <t xml:space="preserve">๑. สร้างบัณฑิตที่มีความรู้ความสามารถ  มีคุณธรรม จริยธรรม สามารถพัฒนาตนเองอย่างต่อเนื่อง  ทันต่อการเปลี่ยนแปลง เพื่อให้ประสบผลสำเร็จในการประกอบอาชีพ ตามหลักปรัชญาเศรษฐกิจพอเพียง และพัฒนาผู้ที่มีศักยภาพเพื่อการพัฒนาประเทศและมีศักยภาพทัดเทียมได้ในภูมิภาคอาเซียนโดยพัฒนาหลักสูตร และกระบวนการจัดการเรียนรู้ที่เน้นผู้เรียนเป็นสำคัญ และมีทักษะการเรียนรู้จากประสบการณ์จริง     </t>
  </si>
  <si>
    <t xml:space="preserve">๒. พัฒนาอาจารย์ให้สามารถจัดการเรียนรู้อย่างมีประสิทธิภาพและพัฒนาตนเองให้พร้อมทันต่อพลวัตรของสังคม โดยส่งเสริมและสนับสนุนให้ทำวิจัยและพัฒนานวัตกรรมการจัดการเรียนรู้ และพัฒนาสมรรถนะด้านวิชาการในระดับสากล </t>
  </si>
  <si>
    <t>๑. สร้างบัณฑิตที่มีคุณภาพและสมรรถนะตามมาตรฐานสากล สามารถเรียนรู้และพัฒนาตนเองได้อย่างต่อเนื่อง มีคุณธรรม จริยธรรมความรับผิดชอบต่อสังคม ความสามัคคี ความพอเพียง จิตสาธารณะ และมีความพร้อมเพื่อรองรับการเปิดประชาคมอาเซียน โดยพัฒนาหลักสูตรให้ทันสมัย และจัดกระบวนการจัดการเรียนรู้ที่เน้นผู้เรียนเป็นสำคัญ และจัดให้มีทักษะการเรียนรู้จากประสบการณ์จริง</t>
  </si>
  <si>
    <t>๕. ศึกษา ค้นคว้า รวบรวม ฟื้นฟูและอนุรักษ์ศิลปวัฒนธรรมและภูมิปัญญาท้องถิ่นด้านการเกษตรและวิถีชุมชน</t>
  </si>
  <si>
    <t>๖. พัฒนาระบบบริหารจัดการที่มีธรรมาภิบาลใช้ข้อมูลเป็นฐานในการตัดสินใจโดยพัฒนาระบบสารสนเทศเพื่อการบริหารและพัฒนาระบบประกันคุณภาพการศึกษา และบริหารจัดการโดยการลดการพึ่งพาภาครัฐ</t>
  </si>
  <si>
    <t xml:space="preserve">๗. พัฒนาระบบบริหารทรัพยากรมนุษย์ที่มุ่งเน้นผลสัมฤทธิ์ โดยให้บุคลากรมีวัฒนธรรมแห่งการเรียนรู้ เพื่อการทำงานได้เต็มตามศักยภาพอย่างมีความสุข โดยพัฒนาระบบสมรรถนะของบุคลากรและผู้บริหารทุกระดับ สร้างเสริมสวัสดิการและสวัสดิภาพให้บุคลากร ส่งเสริมและสนับสนุนความก้าวหน้าของบุคลากร และการจัดการความรู้เพื่อนำไปสู่การปฏิบัติงานอย่างมีประสิทธิภาพ </t>
  </si>
  <si>
    <t>๕.สืบสาน เผยแผ่ ฟื้นฟูและอนุรักษ์ศิลปวัฒนธรรม ขนบธรรมเนียมประเพณีท้องถิ่น รวมทั้งเรียนรู้วัฒนธรรมของประเทศในอาเซียน โดยศึกษา ค้นคว้า วิจัย รวบรวมและจัดการความรู้ให้นักศึกษาและบุคลากรตระหนักถึงคุณค่าของศิลปวัฒนธรรม ประวัติศาสตร์ และภูมิปัญญาท้องถิ่น</t>
  </si>
  <si>
    <t>๔. พัฒนาระบบและกลไกการให้บริการด้านสุขภาพแบบองค์รวม โดยการให้บริการทั้งในสถานบริการและในชุมชนที่ได้มาตรฐาน และเท่าเทียมกัน สร้างองค์ความรู้ด้านสุขภาพแบบองค์รวมที่ได้มาตรฐานผ่านเครือข่ายสุขภาพและสหสาขาวิชาชีพที่ บูรณาการวิชาการกับภูมิปัญญาท้องถิ่น อย่างเป็นระบบเพื่อส่งเสริมวิจัย บริการวิชาการ การเรียนการสอน อย่างมีคุณภาพ และสร้างสุขภาวะ สิ่งแวดล้อม เพื่อพัฒนาชุมชน โดยใช้ชุมชนเป็นแหล่งเรียนรู้ด้านวิทยาศาสตร์สุขภาพ รวมทั้ง สร้างแม่แบบ (role model) ในการสร้างเสริมสุขภาพของบุคลากร นักศึกษา และชุมชน</t>
  </si>
  <si>
    <t>ค่าเฉลี่ยเป้าหมายการดำเนินงานของคณะ/สำนัก</t>
  </si>
  <si>
    <t>1. สร้างบัณฑิตที่มีคุณภาพและสมรรถนะตามมาตรฐานสากล สามารถเรียนรู้และพัฒนาตนเองได้อย่างต่อเนื่อง มีคุณธรรม ความรับผิดชอบ ความพอเพียง จิตสำนึกที่ดี และมีความพร้อมเพื่อรองรับการเปิดประชาคมอาเซียน โดยพัฒนาหลักสูตร และกระบวนการจัดการเรียนรู้ที่เน้นผู้เรียนเป็นสำคัญ และมีทักษะการเรียนรู้จากประสบการณ์จริง</t>
  </si>
  <si>
    <t>3. พัฒนาขีดความสามารถด้านการวิจัยเพื่อยกระดับสู่การเป็นมหาวิทยาลัยวิจัยและรยกระดับความเป็นอยู่ของชุมชนในภูมิภาคลุ่มน้ำโขงโดยพัฒนาโครงสร้างพื้นฐานเพื่อส่งเสริมการวิจัย และส่งเสริมและสนับสนุนความร่วมมือด้านการวิจัยกับหน่วยงานทั้งในและต่างประเทศ</t>
  </si>
  <si>
    <t>4. ให้บริการวิชาการและถ่ายทอดเทคโนโลยีเพื่อยกระดับคุณภาพชีวิตที่ดีของประชาชนในเขตอีสานใต้และภูมิภาคลุ่มแม่น้ำโขงและอาเซียน โดยเสริมสร้างความเข้มแข็งของการศึกษาขั้นพื้นฐาน ส่งเสริมและสนับสนุนการสร้างเสริมสุขภาวะและบริการสุขภาพ และสร้างเครือข่ายความร่วมมือกับชุมชนทุกภาคส่วน</t>
  </si>
  <si>
    <t>6. พัฒนาระบบบริหารจัดการที่มีธรรมาภิบาลใช้ข้อมูลเป็นฐานในการตัดสินใจ โดยพัฒนาระบบสารสนเทศเพื่อการบริหาร และพัฒนาระบบประกันคุณภาพการศึกษา</t>
  </si>
  <si>
    <t>7. พัฒนาระบบบริหารทรัพยากรมนุษย์ที่มุ่งเน้นผลสัมฤทธิ์ โดยให้บุคลากรมีวัฒนธรรมแห่งการเรียนรู้ เพื่อการทำงานได้เต็มตามศักยภาพอย่างมีความสุข โดยพัฒนาระบบสมรรถนะของบุคลากรและผู้บริหารทุกระดับ สร้างเสริมสวัสดิการและสวัสดิภาพให้บุคลากร ส่งเสริมและสนับสนุนความก้าวหน้าของบุคลากร และการจัดการความรู้เพื่อนำไปสู่การปฏิบัติงานอย่างมีประสิทธิภาพ</t>
  </si>
  <si>
    <t>รวมงบประมาณกลยุทธ์ที่ 7</t>
  </si>
  <si>
    <t xml:space="preserve"> โครงการผลิตบัณฑิตด้านวิทยาศาสตร์สุขภาพ</t>
  </si>
  <si>
    <t>โครงการประชุมสัมมนาและอบรมวิชาชีพต่างๆ เพื่อเสริมสร้างความมั่นคงในการประกอบอาชีพ</t>
  </si>
  <si>
    <t>โครงการสร้างเสริมสุขภาวะและบริการสุขภาพแก่ชุมชน</t>
  </si>
  <si>
    <t>โครงการสนับสนุนจัดการศึกษาขั้นพื้นฐาน</t>
  </si>
  <si>
    <t>โครงการศึกษา ค้นคว้า วิจัย รวบรวมและเผยแพร่องค์ความรู้และภูมิปัญญาด้านศิลปวัฒนธรรม ขนบธรรมเนียมและประเพณี</t>
  </si>
  <si>
    <t>โครงการอบรม ประชุม สัมมนา เพื่อพัฒนาระบบบริหารทรัพยากรมนุษย์</t>
  </si>
  <si>
    <t>วิทยาลัยแพทย์ฯ</t>
  </si>
  <si>
    <t>คณะศิลปะประยุกต์และการออกแบบ</t>
  </si>
  <si>
    <t>โครงการพัฒนาบุคลากร คณะเกษตรศาสตร์</t>
  </si>
  <si>
    <t>โครงการอบรม ประชุม สัมมนา พัฒนาบุคลากรคณะเกษตรศาสตร์</t>
  </si>
  <si>
    <t>โครงการสัมมนาเพื่อพัฒนาประสิทธิภาพการทำงานสำนักงานคณบดี</t>
  </si>
  <si>
    <t>โครงการประชุมระดมความคิดเพื่อทำกรอบวิจัยเชิงบูรณาการ</t>
  </si>
  <si>
    <t>โครงการบริหารจัดการและสนับสนุนการผลิตบัณฑิตคณะเกษตรศาสตร์</t>
  </si>
  <si>
    <t>๗. พัฒนาระบบบริหารทรัพยากรมนุษย์ที่มุ่งเน้นผลสัมฤทธิ์ โดยให้บุคลากรมีวัฒนธรรมแห่งการเรียนรู้ เพื่อการทำงานได้เต็มตามศักยภาพอย่างมีความสุข โดยพัฒนาระบบสมรรถนะของบุคลากรและผู้บริหารทุกระดับสร้างเสริมสวัสดิการและสวัสดิภาพให้บุคลากร ส่งเสริมและสนับสนุนความก้าวหน้าของบุคลากร และการจัดการความรู้เพื่อนำไปสู่การปฏิบัติงานอย่างมีประสิทธิภาพ</t>
  </si>
  <si>
    <t>๗. พัฒนาระบบบริหารทรัพยากรมนุษย์ที่มุ่งเน้นผลสัมฤทธิ์ โดยให้บุคลากรมีวัฒนธรรมแห่งการเรียนรู้เพื่อการทำงานได้เต็มศักยภาพอย่างมีความสุข</t>
  </si>
  <si>
    <t>๗. พัฒนาระบบบริหารทรัพยากรมนุษย์ที่มุ่งเน้นผลสัมฤทธิ์ โดยให้บุคลากรมีวัฒนธรรมแห่งการเรียนรู้ เพื่อการทำงานได้เต็มตามศักยภาพอย่างมีความสุข โดยพัฒนาระบบสมรรถนะของบุคลากรและผู้บริหารทุกระดับ สร้างเสริมสวัสดิการและสวัสดิภาพให้บุคลากร ส่งเสริมและสนับสนุนความก้าวหน้าของบุคลากร และการจัดการความรู้เพื่อนำไปสู่การปฏิบัติงานอย่างมีประสิทธิภาพ อย่างต่อเนื่อง</t>
  </si>
  <si>
    <t>๗. พัฒนาระบบบริหารทรัพยากรมนุษย์ที่มุ่งเน้นผลสัมฤทธิ์ โดยให้บุคลากรมีวัฒนธรรมแห่งการเรียนรู้   เพื่อการทำงานได้เต็มตามศักยภาพอย่างมีความสุข โดยพัฒนาระบบสมรรถนะของบุคลากรและผู้บริหารทุกระดับ สร้างเสริมสวัสดิการและสวัสดิภาพให้บุคลากร ส่งเสริมและสนับสนุนความก้าวหน้าของบุคลากร และการจัดการความรู้เพื่อนำไปสู่การปฏิบัติงานอย่างมีประสิทธิภาพ</t>
  </si>
  <si>
    <t xml:space="preserve">๕. บริหารงานตามหลักธรรมาภิบาล โดยพัฒนาโครงสร้างองค์กรและการบริหารงานให้ชัดเจน  จัดสรรภาระงานตามตำแหน่งหน้าที่ให้เหมาะสม จัดทำนโยบายการบริหารงาน  บริหารด้วยความยุติธรรม มีความเสมอภาค  โปร่งใส  ตรวจสอบได้  รับฟังความคิดเห็นจากบุคลากรทุกระดับ  ลดความซ้ำซ้อนของขั้นตอนการบริหารงาน จัดทำฐานข้อมูลในการบริหาร จัดสรรงบประมาณให้สอดคล้องและเพียงพอ  และสร้างวัฒนธรรมองค์กร  สร้างขวัญและกำลังใจ สร้างแรงจูงใจแก่บุคลากรโดยจัดให้มีค่าตอบแทน และโบนัส รวมทั้งสร้างความมั่นคงในการทำงาน โดยจัดทำทำกองทุนสวัสดิการ กองทุนสำรองเลี้ยงชีพ </t>
  </si>
  <si>
    <t>๖. พัฒนาระบบบริหารจัดการให้มีประสิทธิภาพตามหลักธรรมาภิบาล</t>
  </si>
  <si>
    <r>
      <t>๖. พัฒนาระบบบริหารจัดการที่มีธรรมาภิบาลใช้ข้อมูลเป็นฐานในการตัดสินใจ</t>
    </r>
    <r>
      <rPr>
        <sz val="16"/>
        <color rgb="FF000000"/>
        <rFont val="TH SarabunPSK"/>
        <family val="2"/>
      </rPr>
      <t xml:space="preserve"> โดยพัฒนาระบบสารสนเทศเพื่อการบริหาร และพัฒนาระบบประกันคุณภาพการศึกษา</t>
    </r>
  </si>
  <si>
    <t>๑. สร้างบัณฑิตที่มีคุณภาพและสมรรถนะตามมาตรฐานสากล สามารถเรียนรู้และพัฒนาตนเองได้อย่างต่อเนื่อง มีคุณธรรม ความรับผิดชอบ ความพอเพียง จิตสำนึกที่ดี และมีความพร้อมเพื่อรองรับการเปิดประชาคมอาเซียน โดยพัฒนาหลักสูตรให้ทันสมัย และจัดกระบวนการจัดการเรียนรู้ที่เน้นผู้เรียนเป็นสำคัญ และจัดให้มีทักษะการเรียนรู้จากประสบการณ์จริง</t>
  </si>
  <si>
    <t>๔. พัฒนาและสนับสนุนงานบริการวิชาการที่เสริมสร้างความเข้มแข็งด้านการเกษตร ความมั่นคงทางอาหารและพัฒนาชุมชน</t>
  </si>
  <si>
    <t>๓. สนับสนุนงานวิจัยเพื่อแก้ปัญหาให้กับชุมชนท้องถิ่น  โดยเน้นงานวิจัยแบบบูรณาการและส่งเสริมความร่วมมือกับหน่วยงานทั้งภายในและต่างประเทศ</t>
  </si>
  <si>
    <t>๑. ผลิตบัณฑิตที่พึงประสงค์ มีความเป็นเลิศด้านความรู้และทักษะวิชาชีพพัฒนาหลักสูตรและนวัตกรรมการเรียนรู้ที่มีคุณภาพมาตรฐานในระดับสากลสามารถแข่งขันได้ในประชาคมอาเซียน</t>
  </si>
  <si>
    <t xml:space="preserve">๒. พัฒนาศักยภาพอาจารย์ด้านวิชาการ ส่งเสริมและสนับสนุนให้อาจารย์เป็นแบบอย่างที่ดีแก่นักศึกษาในด้านคุณธรรม จริยธรรมและจรรยาบรรณวิชาชีพ  </t>
  </si>
  <si>
    <t>๓. ส่งเสริมและสนับสนุนการสร้างงานวิจัยที่มีคุณภาพในระดับชาติและนานาชาติ ทั้งการวิจัยพื้นฐาน การวิจัยเชิงบูรณาการ และการวิจัยต่อยอดภูมิปัญญาท้องถิ่นทีตอบสนองต่อความต้องการของชุมชน สังคม เพื่อใช้ประโยชน์ในเชิงพาณิชย์</t>
  </si>
  <si>
    <t>๔. ให้บริการทางวิชาการเพื่อสร้างเสริมสุขภาวะแก่ประชาชน ชุมชนและสังคม และสร้างความร่วมมือกับภาคีวิชาชีพเพื่อยกระดับคุณภาพบริการทางเภสัชกรรม</t>
  </si>
  <si>
    <t>๕. ส่งเสริมและสนับสนุนให้บุคลากรและนักศึกษามีจิตสำนึกและมีส่วนร่วมในการอนุรักษ์ศิลปะวัฒนธรรม ร่วมสืบสานประเพณีอันดีงามและภูมิปัญญาท้องถิ่น</t>
  </si>
  <si>
    <t>๖. บริหารจัดการเชิงรุกโดยยึดหลักธรรมาภิบาล พัฒนาองค์กรให้มีคุณภาพมาตรฐานและมีสมรรถนะสูง มีการบริหารจัดการทรัพยากรอย่างมีประสิทธิภาพเพื่อสนับสนุนการดำเนินภารกิจหลักของคณะ</t>
  </si>
  <si>
    <t>๑. สร้างบัณฑิตที่มีคุณภาพและสมรรถนะตามมาตรฐานสากล สามารถเรียนรู้และพัฒนาตนเองได้อย่างต่อเนื่อง มีคุณธรรม ความรับผิดชอบ ความพอเพียง จิตสำนึกที่ดี และมีความพร้อมเพื่อรองรับการเปิดประชาคมอาเซียน และจัดกระบวนการจัดการเรียนรู้ที่เน้นผู้เรียนเป็นสำคัญ และจัดให้มีทักษะการเรียนรู้จากประสบการณ์จริง</t>
  </si>
  <si>
    <t>๒. พัฒนาอาจารย์ให้สามารถจัดการเรียนรู้อย่างมีประสิทธิภาพ โดยส่งเสริมและสนับสนุนให้ทำวิจัยและพัฒนานวัตกรรมการจัดการเรียนรู้</t>
  </si>
  <si>
    <t>๓. พัฒนาขีดความสามารถด้านการวิจัยเพื่อยกระดับสู่การเป็นมหาวิทยาลัยวิจัยระดับชาติและภูมิภาคลุ่มน้ำโขง และส่งเสริมและสนับสนุนความร่วมมือด้านการวิจัยกับหน่วยงานทั้งในและต่างประเทศ</t>
  </si>
  <si>
    <t>๔. ให้บริการวิชาการและถ่ายทอดเทคโนโลยีเพื่อเสริมสร้างความเข้มแข็งของการศึกษาขั้นพื้นฐาน ส่งเสริมและสนับสนุนการสร้างเสริมสุขภาวะและสิ่งแวดล้อม และสร้างเครือข่ายความร่วมมือกับชุมชนทุกภาคส่วน</t>
  </si>
  <si>
    <t>๕. เผยแพร่และอนุรักษ์ศิลปวัฒนธรรม ขนบธรรมเนียมประเพณีท้องถิ่น รวมทั้งเรียนรู้วัฒนธรรมของประเทศในภูมิภาคลุ่มน้ำโขง รวมทั้งส่งเสริมสนับสนุนให้นักศึกษาและบุคลากรตระหนักถึงคุณค่าของศิลปวัฒนธรรม และภูมิปัญญาท้องถิ่น</t>
  </si>
  <si>
    <t xml:space="preserve"> ๒. พัฒนาอาจารย์ให้สามารถจัดการเรียนรู้อย่างมีประสิทธิภาพ โดยส่งเสริมและสนับสนุนให้ทำวิจัยและพัฒนานวัตกรรมการจัดการเรียนรู้</t>
  </si>
  <si>
    <t>๑. สร้างบัณฑิตที่มีคุณภาพและสมรรถนะตามมาตรฐานสากล สามารถเรียนรู้และพัฒนาตนเองได้อย่างต่อเนื่อง มีคุณธรรม ความรับผิดชอบ ความพอเพียงจิตสำนึกที่ดี และมีความพร้อมเพื่อรองรับการเปิดประชาคมอาเซียน โดยพัฒนาหลักสูตรให้ทันสมัย และจัดกระบวนการจัดการเรียนรู้ที่เน้นผู้เรียนเป็นสำคัญ และจัดให้มีทักษะการเรียนรู้จากประสบการณ์จริง</t>
  </si>
  <si>
    <r>
      <t>๒. พัฒนาอาจารย์ให้สามารถจัดการเรียนรู้อย่างมีประสิทธิภาพและพัฒนาตนเองให้พร้อมทันต่อพลวัตรของสังคม</t>
    </r>
    <r>
      <rPr>
        <sz val="16"/>
        <color rgb="FF000000"/>
        <rFont val="TH SarabunPSK"/>
        <family val="2"/>
      </rPr>
      <t xml:space="preserve"> โดยส่งเสริมและสนับสนุนให้ทำวิจัยและพัฒนานวัตกรรมการจัดการเรียนรู้ และพัฒนามรรถนะด้านวิชาการในระดับสากล</t>
    </r>
  </si>
  <si>
    <r>
      <t>๓. พัฒนาขีดความสามารถด้านการวิจัยเพื่อยกระดับสู่การวิจัยระดับชาติและภูมิภาคลุ่มน้ำโขง</t>
    </r>
    <r>
      <rPr>
        <sz val="16"/>
        <color rgb="FF000000"/>
        <rFont val="TH SarabunPSK"/>
        <family val="2"/>
      </rPr>
      <t xml:space="preserve"> โดยพัฒนาโครงสร้างพื้นฐานเพื่อส่งเสริมการวิจัย และส่งเสริมและสนับสนุนความร่วมมือด้านการวิจัยกับหน่วยงานทั้งในและต่างประเทศ</t>
    </r>
  </si>
  <si>
    <r>
      <t>๔. ให้บริการวิชาการและถ่ายทอดความรู้เพื่อยกระดับคุณภาพชีวิตที่ดีของประชาชนในเขตอีสานใต้และภูมิภาคลุ่มแม่น้ำโขง</t>
    </r>
    <r>
      <rPr>
        <sz val="16"/>
        <color rgb="FF000000"/>
        <rFont val="TH SarabunPSK"/>
        <family val="2"/>
      </rPr>
      <t xml:space="preserve"> โดยเสริมสร้างความเข้มแข็งของการศึกษาขั้นพื้นฐาน ส่งเสริมและสนับสนุนการสร้างเสริมสุขภาวะ และสร้างเครือข่ายความร่วมมือกับชุมชนทุกภาคส่วน</t>
    </r>
  </si>
  <si>
    <r>
      <t>๕. สืบสาน</t>
    </r>
    <r>
      <rPr>
        <sz val="16"/>
        <color rgb="FF000000"/>
        <rFont val="TH SarabunPSK"/>
        <family val="2"/>
      </rPr>
      <t xml:space="preserve"> เผยแผ่ ฟื้นฟูและอนุรักษ์ศิลปวัฒนธรรม ขนบธรรมเนียมประเพณีท้องถิ่น รวมทั้งเรียนรู้วัฒนธรรมของประเทศในภูมิภาคลุ่มน้ำโขง โดยศึกษา ค้นคว้าวิจัย รวบรวมและจัดการความรู้ให้นักศึกษาและบุคลากรตระหนักถึงคุณค่าของศิลปวัฒนธรรม ประวัติศาสตร์ และภูมิปัญญาท้องถิ่น</t>
    </r>
  </si>
  <si>
    <t>๕. สืบสาน เผยแผ่ ฟื้นฟู และอนุรักษ์ศิลปวัฒนธรรมท้องถิ่น โดยบูรณาการวัฒนธรรม ประเทศในอาเซียน โดยการศึกษาและจัดการความรู้ให้นักศึกษาและบุคลากร ตระหนักถึงคุณค่าของวัฒนธรรม ประวัติศาสตร์ และภูมิปัญญาท้องถิ่น</t>
  </si>
  <si>
    <t xml:space="preserve">๔. ให้บริการวิชาการและถ่ายทอดองค์ความรู้ เพื่อยกระดับคุณภาพชีวิตที่ดีของประชาชนในเขตอีสานใต้และภูมิภาคลุ่มน้ำโขง  </t>
  </si>
  <si>
    <t>๓. ยกระดับการวิจัยสู่สากลโดยพัฒนาส่งเสริมการทำวิจัยและสนับสนุนความร่วมมือด้านการวิจัยกับหน่วยงานทั้งภายในภายนอกมหาวิทยาลัย</t>
  </si>
  <si>
    <t>๑. สร้างบัณฑิตทางกฎหมายที่มีคุณภาพและสมรรถนะตามมาตรฐานขององค์กรวิชาชีพ มีความใฝ่รู้สามารถพัฒนาตนเองอย่างต่อเนื่อง มีคุณธรรมและจิตสำนึกที่ดี พร้อมรับใช้สังคมและประชาคมอาเซียน</t>
  </si>
  <si>
    <t>๒. พัฒนาอาจารย์ให้มีความสามารถจัดการเรียนรู้อย่างมีประสิทธิภาพและพัฒนาตนเองให้พร้อมและทันต่อพลวัตรของสังคมและประชาคมอาเซียน</t>
  </si>
  <si>
    <t xml:space="preserve">๓. พัฒนาขีดความสามารถด้านการวิจัยและงานสร้างสรรค์ทางนิติศาสตร์และพัฒนบูรณาการศาสตร์ </t>
  </si>
  <si>
    <t>๔. สร้างความเข้มแข็ง ความเป็นธรรมและยกระดับคุณภาพชีวิตของประชาชนด้วยการให้บริการทางวิชาการเพื่อถ่ายทอดองค์ความรู้ทางนิติศาสตร์และวัฒนธรรมเนติธรรมที่จำเป็น และสร้างเครือข่ายความร่วมมือกับชุมชนทุกภาคส่วนในท้องถิ่นอีสาน</t>
  </si>
  <si>
    <t xml:space="preserve">๕. มีส่วนร่วมในการดำเนินกิจกรรมสืบสาน อนุรักษ์ ศิลปวัฒนธรรมไทยและท้องถิ่นอีสานใต้ </t>
  </si>
  <si>
    <t>๔. ให้บริการวิชาการและถ่ายทอดเทคโนโลยีเพื่อยกระดับคุณภาพชีวิตที่ดีของประชาชนในเขตอีสานใต้และภูมิภาคลุ่มแม่น้ำโขง โดยเสริมสร้างความเข้มแข็งของการศึกษาขั้นพื้นฐาน ส่งเสริมและสนับสนุนการสร้างเสริมสุขภาวะและบริการสุขภาพ และสร้างเครือข่ายความร่วมมือกับชุมชนทุกภาคส่วน</t>
  </si>
  <si>
    <t>๓. พัฒนาขีดความสามารถด้านการวิจัยเพื่อยกระดับสู่การเป็นมหาวิทยาลัยวิจัยระดับชาติและภูมิภาคลุ่มน้ำโขง โดยพัฒนาโครงสร้างพื้นฐานเพื่อส่งเสริมการวิจัย และส่งเสริมและสนับสนุนความร่วมมือด้านการวิจัยกับหน่วยงานทั้งในและต่างประเทศ</t>
  </si>
  <si>
    <t>๑. สร้างบัณฑิตที่มีคุณภาพและสมรรถนะตามมาตรฐานสากล สามารถเรียนรู้และพัฒนาตนเองได้อย่างต่อเนื่อง มีคุณธรรม ความรับผิดชอบ ความพอเพียง จิตสำนึกที่ดี และมีความพร้อมเพื่อรองรับการเปิดประชาคมอาเซียน โดยพัฒนาหลักสูตร และกระบวนการจัดการเรียนรู้ที่เน้นผู้เรียนเป็นสำคัญ และมีทักษะการเรียนรู้จากประสบการณ์จริง</t>
  </si>
  <si>
    <t xml:space="preserve">๑. พัฒนาระบบและกลไกการบริหารหลักสูตรและการจัดการเรียนการสอนให้ได้มาตรฐาน โดยเน้นผู้เรียนเป็นสำคัญ   หลักสูตรเป็นไปตามเกณฑ์มาตรฐานวิชาชีพและ สกอ. </t>
  </si>
  <si>
    <t>๒. ปรับปรุงการพัฒนาบุคลากรให้เป็นระบบ โดย วิเคราะห์ภาระงานของบุคลากรในเชิงปริมาณและคุณภาพ และจัดหาบุคลากรให้ครบตามเกณฑ์มาตรฐาน จัดทำแผนการพัฒนาบุคลากร  เพื่อเพิ่มพูนความรู้อย่างต่อเนื่อง ทั้งด้านแพทย์ศาสตร์ศึกษาและสาธารณสุขศึกษา รวมทั้ง การเรียนรู้วัฒนธรรมองค์กร</t>
  </si>
  <si>
    <t>๓. พัฒนาระบบและกลไกการบริหารงานวิจัย โดยจัดทำแผนแม่บทงานวิจัย จัดสรรงบประมาณ ทรัพยากร เทคโนโลยี และอุปกรณ์ ส่งเสริมและพัฒนาศักยภาพนักวิจัยรุ่นใหม่  สร้างแรงจูงใจเพื่อส่งเสริมและสนับสนุนการทำวิจัยของบุคลากร รวมทั้งสร้างเครือข่ายการวิจัย</t>
  </si>
  <si>
    <t>๖. บริหารจัดการตามหลักธรรมาภิบาล  โดยพัฒนาระบบสารสนเทศเพื่อการบริหาร และพัฒนาระบบประกันคุณภาพการศึกษาเพื่อพัฒนาคณะพยาบาลศาสตร์ให้เป็นองค์กรแห่งการเรียนรู้ บุคลากรมีคุณภาพและมีความสุข</t>
  </si>
  <si>
    <t xml:space="preserve">๔. บริการวิชาการที่เข้าถึงและตอบสนองต่อความต้องการของชุมชนโดยส่งเสริม สนับสนุนการสร้างเสริมสุขภาวะและบริการสุขภาพให้แก่บุคคลและชุมชนในภูมิภาคลุ่มน้ำโขง รวมทั้งสร้างเครือข่ายความร่วมมือกับชุมชนทุกภาคส่วน </t>
  </si>
  <si>
    <r>
      <t xml:space="preserve">๓. สร้างองค์ความรู้ และนวัตกรรมทางการพยาบาล  โดยการมีส่วนร่วมกับเครือข่ายสุขภาพและชุมชนท้องถิ่น และแสวงหาทุน ทรัพยากรจากภายนอกเพื่อนำไปสู่การดูแลสุขภาพของชุมชนลุ่มน้ำโขง และอาเซียนในระดับสากล  </t>
    </r>
    <r>
      <rPr>
        <b/>
        <sz val="16"/>
        <color theme="1"/>
        <rFont val="TH SarabunPSK"/>
        <family val="2"/>
      </rPr>
      <t xml:space="preserve"> </t>
    </r>
  </si>
  <si>
    <t xml:space="preserve">๑. สร้างบัณฑิตที่มีความรู้ความสามารถ มีคุณธรรม จริยธรรม มีจิตสาธารณะ ความรับผิดชอบ มีจิตสำนึกต่อท้องถิ่น สามารถทำงานเป็นทีม และมีทักษะในการเรียนรู้ตลอดชีวิต โดยพัฒนาจัดกระบวนการจัดการเรียนรู้ที่เน้นผู้เรียนเป็นสำคัญ และจัดให้มีทักษะการเรียนรู้จากประสบการณ์จริง </t>
  </si>
  <si>
    <t>๒. พัฒนาอาจารย์ให้สามารถจัดการเรียนรู้อย่างมีประสิทธิภาพและพัฒนาตนเองให้พร้อมทันต่อพลวัตรของสังคม โดยส่งเสริมและสนับสนุนให้ทำวิจัยและพัฒนานวัตกรรมการจัดการเรียนรู้ และพัฒนาสมรรถนะด้านวิชาการ</t>
  </si>
  <si>
    <t>๒. พัฒนาระบบบริหารจัดการให้เป็นไปตามหลักธรรมาภิบาล</t>
  </si>
  <si>
    <t xml:space="preserve">๓. พัฒนาระบบบริหารและพัฒนาทรัพยากรมนุษย์ </t>
  </si>
  <si>
    <t>๑. พัฒนาระบบและกลไกการให้บริการ การกำกับดูแล และส่งเสริมสนับสนุนการดำเนินงานตามภารกิจมหาวิทยาลัย</t>
  </si>
  <si>
    <t>๑. สนับสนุนและส่งเสริมให้เกิดการใช้เทคโนโลยีสารสนเทศเพื่อการบริการด้านการศึกษา วิจัย บริการวิชาการ ทำนุบำรุงศิลปวัฒนธรรมและการบริหารจัดการ เพื่อให้สอดคล้องกับการพัฒนามหาวิทยาลัยและชุมชนอย่างมีธรรมาภิบาล</t>
  </si>
  <si>
    <t xml:space="preserve">๒. พัฒนาโครงสร้างพื้นฐานเทคโนโลยีสารสนเทศและการสื่อสาร เพื่อตอบสนองต่อการดำเนินงานตามวิสัยทัศน์และพันธกิจของมหาวิทยาลัย </t>
  </si>
  <si>
    <t>๓. พัฒนาระบบการบริหารจัดการ ระบบบริหารทรัพยากรมนุษย์ การบริหารความเสี่ยง การจัดการความรู้ และการประกันคุณภาพ</t>
  </si>
  <si>
    <t>๑. สนับสนุนทรัพยากรเพื่อการเรียนการสอนและการวิจัย</t>
  </si>
  <si>
    <t>๒. ส่งเสริมและสนับสนุนการบริการวิชาการ</t>
  </si>
  <si>
    <t>๓. ส่งเสริมและสนับสนุนการทำนุบำรุง และฟื้นฟูศิลปวัฒนธรรม</t>
  </si>
  <si>
    <t>๔. การบริหารองค์กรอย่างมีอย่างคุณภาพ
๕. วิเคราะห์และจัดสรรทรัพยากรให้ตรงตามความต้องการ
๖. การพัฒนาต่อการให้บริการ</t>
  </si>
  <si>
    <t>ชื่อโครงการหลักมหาวิทยาลัย</t>
  </si>
  <si>
    <t>หน่วยงานที่รับผิดชอบ</t>
  </si>
  <si>
    <t>ชื่อโครงการของคณะ/สำนักที่สอดคล้องกับโครงการหลักมหาวิทยาลัย</t>
  </si>
  <si>
    <t>แบบฟอร์มเสนอโครงการเพื่อบรรจุในแผนกลยุทธ์มหาวิทยาลัยระยะ ๕ ปี (พ.ศ. ๒๕๕๕ - ๒๕๕๙) มหาวิทยาลัยอุบลราชธานี</t>
  </si>
  <si>
    <t>3.ผลงานวิชาการที่ได้รับการรับรองคุณภาพ (ตัวบ่งชี้สมศ. 7)</t>
  </si>
  <si>
    <t>๒. โครงการกองทุนส่งเสริมและพัฒนาการผลิตบัณฑิตสาขาวิทยาศาสตร์</t>
  </si>
  <si>
    <t>วิทยาแพทย์ฯ</t>
  </si>
  <si>
    <t>โครงการสนับสนุนการจัดกิจกรรมเสริมหลักสูตรและกิจกรรมนอกหลักสูตร</t>
  </si>
  <si>
    <t>โครงการพัฒนาระบบและกลไกการบริหารงานทำนุบำรุงศิลปวัฒนธรรมของ
วิทยาลัยฯ</t>
  </si>
  <si>
    <t>โครงการจัดทำแผนปฏิบัติการประจำปี และติดตามประเมินผล</t>
  </si>
  <si>
    <t>โครงการพัฒนานักศึกษาทางวิชาการ</t>
  </si>
  <si>
    <t>1) โครงการบริหารและพัฒนาหลักสูตร 2) โครงการฝึกงานของนักศึกษา 3) โครงการงานกิจการนักศึกษา</t>
  </si>
  <si>
    <t>โครงการจัดหาตำรา สารสนเทศสนับสนุนการสอน</t>
  </si>
  <si>
    <t>โครงการเงินเดือนข้าราชการและค่าจ้างชั่วคราวผู้มีความรู้ความสามารถ(เงินงบประมาณ)</t>
  </si>
  <si>
    <t>โครงการประชุมแลกเปลี่ยนเรียนรู้เกณฑ์การประกันคุณภาพการศึกษาทางด้านการเรียนการสอน</t>
  </si>
  <si>
    <t>13. โครงการสนับสนุนจัดการศึกษาขั้นพื้นฐาน</t>
  </si>
  <si>
    <t xml:space="preserve">14. โครงการพัฒนาระบบและกลไกการบริหารงานทำนุบำรุงศิลปวัฒนธรรม </t>
  </si>
  <si>
    <t>15. โครงการศึกษา ค้นคว้า วิจัย รวบรวมและเผยแพร่องค์ความรู้และภูมิปัญญาด้านศิลปวัฒนธรรม ขนบธรรมเนียมและประเพณี</t>
  </si>
  <si>
    <t>16. โครงการพัฒนาระบบบริหารจัดการของมหาวิทยาลัย</t>
  </si>
  <si>
    <t>17. โครงการพัฒนาระบบฐานข้อมูลสารสนเทศเพื่อการบริหารจัดการ</t>
  </si>
  <si>
    <t xml:space="preserve">20. โครงการจัดการความรู้ </t>
  </si>
  <si>
    <t>19. โครงการระบบสาธารณูปโภคและโครงสร้างพื้นฐานของมหาวิทยาลัย</t>
  </si>
  <si>
    <t>18. โครงการอบรม ประชุม สัมมนา เพื่อพัฒนาระบบบริหารทรัพยากรมนุษย์</t>
  </si>
  <si>
    <t>1. โครงการผลิตบัณฑิตด้านวิทยาศาสตร์และเทคโนโลยี</t>
  </si>
  <si>
    <t>2. โครงการผลิตบัณฑิตด้านวิทยาศาสตร์สุขภาพ</t>
  </si>
  <si>
    <t>3. โครงการผลิตบัณฑิตด้านสังคมศาสตร์</t>
  </si>
  <si>
    <t>4. โครงการพัฒนาระบบการเรียนการสอนที่เน้นผู้เรียนเป็นสำคัญ ทั้งในด้านรูปแบบการเรียนการสอน การพัฒนาหลักสูตร และการพัฒนาการเรียนการสอน</t>
  </si>
  <si>
    <t>6. โครงการพัฒนาระบบกลไกการบริหารงานวิจัยของมหาวิทยาลัย</t>
  </si>
  <si>
    <t>7. โครงการวิจัยเพื่อสร้างองค์ความรู้</t>
  </si>
  <si>
    <t>8. โครงการวิจัยเพื่อถ่ายทอดเทคโนโลยี</t>
  </si>
  <si>
    <t>9. โครงการบริการวิชาการของมหาวิทยาลัย</t>
  </si>
  <si>
    <t>10. โครงการเครือข่ายความร่วมมือกับชุมชน หน่วยงานของรัฐ และ ภาคธุรกิจอุตสาหกรรม</t>
  </si>
  <si>
    <t>11. โครงการประชุมสัมมนาและอบรมวิชาชีพต่างๆ เพื่อเสริมสร้างความมั่นคงในการประกอบอาชีพ</t>
  </si>
  <si>
    <t>12. โครงการสร้างเสริมสุขภาวะและบริการสุขภาพแก่ชุมชน</t>
  </si>
  <si>
    <t>โครงการพัฒนากำลังคนด้านวิทยาศาสตร์
   (ทุนเรียนดีวิทยาศาสตร์แห่งประเทศไทย)</t>
  </si>
  <si>
    <t>โครงการจัดการศึกษาสาขาเภสัชศาสตร์</t>
  </si>
  <si>
    <t>โครงการสนับสนุนกิจกรรมการเรียนการสอนและกิจกรรมนักศึกษาเภสัชศาสตร์เพื่อให้ครบถ้วนตามคุณลักษณะของบัณฑิตที่พึงประสงค์</t>
  </si>
  <si>
    <t>โครงการวิจัยเพื่อสร้างองค์ความรู้สาขาวิทยาศาสตร์</t>
  </si>
  <si>
    <t>โครงการวิจัยเพื่อถ่ายทอดเทคโนโลยีสาขาวิทยาศาสตร์</t>
  </si>
  <si>
    <t>โครงการทำนุบำรุงศิลปวัฒนธรรมสาขาวิทยาศาสตร์</t>
  </si>
  <si>
    <t>โครงการพัฒนาระบบและกลไกในการทํานุบํารุงศิลปวัฒนธรรม</t>
  </si>
  <si>
    <t>โครการบริหารจัดการสำนักงาน 2) โครงการพัฒนางานนโยบายและแผน 3) โครงการประกันคุณภาพการศึกษาและการบริหารความเสี่ยง</t>
  </si>
  <si>
    <t>โครงการพัฒนาศักยภาพบุคลากรคณะวิทยาศาสตร์</t>
  </si>
  <si>
    <t>โครงการจัดหาครุภัณฑ์ ที่ดินและสิ่งก่อสร้าง</t>
  </si>
  <si>
    <t>โครงการสนับสนุนการจัดการสอนสาขาพยาบาลศาสตร์</t>
  </si>
  <si>
    <t>โครงการจัดหาครุภัณฑ์เพื่อสนับสนุนการผลิตบัณฑิต</t>
  </si>
  <si>
    <t>โครงการจัดหาพัสดุเพื่อสนับสนุนการผลิตบัณฑิต</t>
  </si>
  <si>
    <t>โครงการพัฒนาทักษะการจัดการเรียนการสอนที่เน้นผู้เรียนเป็นสำคัญ</t>
  </si>
  <si>
    <t>โครงการศึกษาสุขภาวะชุมชนและให้บริการวิชาการโดยใช้ชุมชนเป็นฐาน</t>
  </si>
  <si>
    <t>โครงการประสานแหล่งฝึกภาคปฏิบัติ</t>
  </si>
  <si>
    <t>โครงการสร้างเครือข่ายประกันคุณภาพการศึกษา</t>
  </si>
  <si>
    <t>โครงการจัดหาของขวัญปีใหม่ให้กับหน่วยงานต่างๆ</t>
  </si>
  <si>
    <t>โครงการร้อยดวงใจผู้สูงวัยในวันสงกรานต์</t>
  </si>
  <si>
    <t>โครงการวันคล้ายวันสถาปนาคณะ</t>
  </si>
  <si>
    <t>โครงการประชุมเพื่อสรุปแผนปฏิบัติการประจำปี</t>
  </si>
  <si>
    <t>โครงการสัมมนาเชิงปฏิบัติการเพื่อจัดทำแผนปฏิบัติการประจำปี</t>
  </si>
  <si>
    <t>โครงการจัดทำรายงานประจำปี</t>
  </si>
  <si>
    <t>โครงการตรวจประเมินคุณภาพการศึกษาภายในคณะพยาบาลศาสตร์</t>
  </si>
  <si>
    <t>โครงการสร้างความรู้ความเข้าใจในงานประกันคุณภาพการศึกษาให้กับบุคลากรและนักศึกษา</t>
  </si>
  <si>
    <t>โครงการส่งเสริมและพัฒนาขีดความสามารถของบุคลากร</t>
  </si>
  <si>
    <t>โครงการสถานที่ทำงานน่าอยู่น่าทำงาน</t>
  </si>
  <si>
    <t>โครงการรณรงค์ประหยัดพลังงาน</t>
  </si>
  <si>
    <t xml:space="preserve"> -</t>
  </si>
  <si>
    <t xml:space="preserve"> โครงการผลิตบัณฑิตคณะบริหารศาสตร์</t>
  </si>
  <si>
    <t xml:space="preserve"> โครงการพัฒนาระบบบริหารทรัพยากรมนุษย์</t>
  </si>
  <si>
    <t>โครงการส่งเสริมและบริหารงานวิจัย</t>
  </si>
  <si>
    <t>โครงการพัฒนาระบบการเรียนการสอนที่เน้นผู้เรียนเป็นสำคัญ</t>
  </si>
  <si>
    <t>โครงการส่งเสริมและพัฒนาศักยภาพอาจารย์</t>
  </si>
  <si>
    <t xml:space="preserve">โครงการผลิตบัณฑิต คณะวิศวกรรมศาสตร์ </t>
  </si>
  <si>
    <t>โครงการพัฒนาศักยภาพบุคลากรคณะวิศวกรรมศาสตร์</t>
  </si>
  <si>
    <t>โครงการวิจัยเพื่อสร้างองค์ความรู้</t>
  </si>
  <si>
    <t xml:space="preserve"> โครงการทำนุบำรุงศิลปวัฒนธรรม สาขาวิศวกรรมศาสตร์</t>
  </si>
  <si>
    <t>โครงการบริหารและจัดการการศึกษาคณะวิศวกรรมศาสตร์</t>
  </si>
  <si>
    <t>โครงการทำนุบำรุงศิลปวัฒนธรรม</t>
  </si>
  <si>
    <t xml:space="preserve"> โครงการเพื่อเพิ่มประสิทธิภาพการให้บริการเครือข่ายคอมพิวเตอร์</t>
  </si>
  <si>
    <t>โครงการพัฒนาระบบการบริหารจัดการสำนักคอมพิวเตอร์และเครือข่าย</t>
  </si>
  <si>
    <t>โครงการบริหารจัดการค่าจ้างบุคลารสำนักคอมพิวเตอร์และเครือข่าย</t>
  </si>
  <si>
    <t xml:space="preserve"> โครงการเพิ่มพูนความรู้และพัฒนาศักยภาพของบุคลากรสำนักคอมพิวเตอร์และเครือข่าย</t>
  </si>
  <si>
    <t xml:space="preserve">โครงการพัฒนาด้านทำนุบำรุงศิลปวัฒนธรรม </t>
  </si>
  <si>
    <t xml:space="preserve">โครงการพัฒนาบุคลากรสำนักวิทยบริการในสายวิชาชีพ </t>
  </si>
  <si>
    <t>โครงการพัฒนาบุคลากร(อาจารย์)</t>
  </si>
  <si>
    <t>โครงการส่งเสริมจรรยาบรรณวิชาชีพคณาจารย์</t>
  </si>
  <si>
    <t xml:space="preserve"> โครงการพัฒนาระบบการดำเนินงานด้านบริการวิชาการของมหาวิทยาลัย</t>
  </si>
  <si>
    <t>โครงการพัฒนาระบบกลไกการบริหารงานวิจัยของคณะเภสัชศาสตร์</t>
  </si>
  <si>
    <t>โครงการเครือข่ายความร่วมมือกับชุมชน หน่วยงานของรัฐ และ ภาคธุรกิจอุตสาหกรรม</t>
  </si>
  <si>
    <t>โครงการประชุมสัมมนาและอบรมวิชาชีพต่างๆ เพื่อเสริมสร้างความมั่นคงในการประกอบอาชีพทางเภสัชศาสตร์</t>
  </si>
  <si>
    <t>โครงการการศึกษา อนุรักษ์ และเผยแพร่องค์ความรู้เพื่อการประยุกต์ใช้ภูมิบัญญาท้องถิ่นทางด้านสมุนไพรและเภสัชกรรม</t>
  </si>
  <si>
    <t>โครงการบริหารและจัดการทั่วไป</t>
  </si>
  <si>
    <t xml:space="preserve">โครงการพัฒนาและปรับปรุงระบบฐานข้อมูลเพื่อสนับสนุนการดำเนินงานตามพันธกิจ การบริหารจัดการและการตัดสินใจ </t>
  </si>
  <si>
    <t>โครงการพัฒนาศักยภาพบุคลากรคณะเภสัชศาสตร์</t>
  </si>
  <si>
    <t xml:space="preserve"> โครงการระบบสาธารณูปโภคและโครงสร้างพื้นฐาน</t>
  </si>
  <si>
    <t>โครงการผลิตบัณฑิตด้านสังคมศาสตร์</t>
  </si>
  <si>
    <t xml:space="preserve"> โครงการพัฒนาระบบการเรียนการสอนที่เน้นผู้เรียนเป็นสำคัญ ทั้งในด้านรูปแบบการเรียนการสอน การพัฒนาหลักสูตร และการพัฒนาการเรียนการสอน</t>
  </si>
  <si>
    <t>โครงการพัฒนาระบบบริหารจัดการของมหาวิทยาลัย</t>
  </si>
  <si>
    <t xml:space="preserve">โครงการจัดการความรู้ </t>
  </si>
  <si>
    <t>โครงการผลิตบัณฑิตและพัฒนาคุณภาพวิชาการ</t>
  </si>
  <si>
    <t>โครงการเสริมสร้างศักยภาพบัณฑิต</t>
  </si>
  <si>
    <t>โครงการพัฒนาคุณภาพนักศึกษา</t>
  </si>
  <si>
    <t>โครงการพัฒนาศักยภาพบุคลากร(อาจารย์)</t>
  </si>
  <si>
    <t>โครงการพัฒนาคุณภาพงานวิจัย</t>
  </si>
  <si>
    <t>โครงการบริหารจัดการวิทยาเขต</t>
  </si>
  <si>
    <t>โครงการดำเนินงานด้านการประกันคุณภาพ</t>
  </si>
  <si>
    <t>โครงการดำเนินงานด้านการประชาสัมพันธ์</t>
  </si>
  <si>
    <t>โครงการจัดหาและบำรุงรักษาครุภัณฑ์</t>
  </si>
  <si>
    <t>โครงการพัฒนาสารสนเทศเพื่อสนับสนุนการเรียนการสอน</t>
  </si>
  <si>
    <t>โครงการพัฒนาผู้ บริหารทุกระดับให้มีสมรรถนะด้านการบริหารโดยยึดหลักธรรมาภิบาล</t>
  </si>
  <si>
    <r>
      <t>โครงการ</t>
    </r>
    <r>
      <rPr>
        <sz val="16"/>
        <color theme="1"/>
        <rFont val="TH SarabunPSK"/>
        <family val="2"/>
      </rPr>
      <t>พัฒนาระบบและกลไกการบริหารงานบุคคล</t>
    </r>
  </si>
  <si>
    <t>โครงการพัฒนาระบบและกลไกการบริหารสวัสดิการและสวัสดิภาพพนักงาน</t>
  </si>
  <si>
    <t>5. โครงการส่งเสริมจรรยาบรรณวิชาชีพคณาจารย์ ทั้งในด้านการปฏิบัติตามจรรยาบรรณ การออกกฎ ระเบียบต่างๆ การรณรงค์ส่งเสิรมจรรยาบรรรณวิชาชีพอาจารย์</t>
  </si>
  <si>
    <t>รวม</t>
  </si>
  <si>
    <t>ผลรวมทั้งหมด</t>
  </si>
  <si>
    <t>ผลรวม ของ รวม</t>
  </si>
  <si>
    <t>1. ผลการเรียนรู้และเสริมสร้างความเข้มแข็งของชุมชนหรือองค์กรภายนอก (ตัวบ่งชี้สมศ. 9)</t>
  </si>
  <si>
    <t>2. ร้อยละความพึงพอใจของผู้รับบริการ/หน่วยงาน/องค์กรที่รับบริการวิชาการและวิชาชีพต่อประโยชน์จากบริการ</t>
  </si>
  <si>
    <t>1. คุณภาพของบัณฑิตปริญญาตรี โทและเอก ตามกรอบมาตรฐานคุณวุฒิอุดมศึกษาแห่งชาติ 
(สมศ. 2)</t>
  </si>
  <si>
    <t>2. ร้อยละบัณฑิตระดับปริญญาตรีที่สอบผ่านใบประกอบวิชาชีพ (กรณีหลักสูตรที่มีวิชาชีพ) ในครั้งแรก</t>
  </si>
  <si>
    <t>3. ร้อยละของผู้สำเร็จการศึกษาที่ได้งานทำตรงสาขา</t>
  </si>
  <si>
    <t>4. บัณฑิตระดับปริญญาตรีที่ได้งานทำหรือประกอบอาชีพอิสระภายใน 1 ปี (สมศ. 1)</t>
  </si>
  <si>
    <t>5. ร้อยละความพึงพอใจของนายจ้างที่มีต่อผู้สำเร็จการศึกษา</t>
  </si>
  <si>
    <t xml:space="preserve">1. ระดับความพึงพอใจของผู้เรียนที่มีต่อคุณภาพการจัดการเรียนการสอน (สกอ. 2.6 เกณฑ์ข้อ 6)
 </t>
  </si>
  <si>
    <t>2. ดัชนีคุณภาพอาจารย์ : การพัฒนาคณาจารย์ (สมศ. ตัวบ่งชี้ที่14 )</t>
  </si>
  <si>
    <t xml:space="preserve">1. งานวิจัยหรืองานสร้างสรรค์ที่ได้รับการตีพิมพ์หรือเผยแพร่ (สมศ. ตัวบ่งชี้ที่ 5) </t>
  </si>
  <si>
    <t>2. งานวิจัยหรืองานสร้างสรรค์ที่นำไปใช้ประโยชน์ (ตัวบ่งชี้สมศ.ที่ 6)</t>
  </si>
  <si>
    <t>5. สืบสาน เผยแผ่ ฟื้นฟูและอนุรักษ์ศิลปวัฒนธรรม ขนบธรรมเนียมประเพณีท้องถิ่น รวมทั้งเรียนรู้วัฒนธรรมของประเทศในอาเซียน โดยศึกษา ค้นคว้า วิจัย รวบรวมและจัดการความรู้ให้นักศึกษาและบุคลากรตระหนักถึงคุณค่าของศิลปวัฒนธรรม ประวัติศาสตร์ และภูมิปัญญาท้องถิ่น</t>
  </si>
  <si>
    <t>5.1 ระดับความสำเร็จในการเป็นแหล่งเรียนรู้ด้านศิลปวัฒนธรรมท้องถิ่น (มอบ.1)</t>
  </si>
  <si>
    <t>1. ระดับความสำเร็จในการเป็นแหล่งเรียนรู้ด้านศิลปวัฒนธรรมท้องถิ่น(มอบ.1)</t>
  </si>
  <si>
    <t>รวมงบประมาณกลยุทธ์ที่ 1</t>
  </si>
  <si>
    <t>โครงการบริหารและพัฒนาหลักสูตร 2) โครงการฝึกงานของนักศึกษา 3) โครงการงานกิจการนักศึกษา</t>
  </si>
  <si>
    <t>รวมงบประมาณกลยุทธ์ที่ 2</t>
  </si>
  <si>
    <t>รวมงบประมาณกลยุทธ์ที่ 3</t>
  </si>
  <si>
    <t>รวมงบประมาณกลยุทธ์ที่ 4</t>
  </si>
  <si>
    <t>รวมงบประมาณกลยุทธ์ที่ 5</t>
  </si>
  <si>
    <t>รวมงบประมาณกลยุทธ์ที่ 6</t>
  </si>
  <si>
    <t>รวมทั้งสิ้น</t>
  </si>
  <si>
    <t>แบบฟอร์มเสนอโครงการเพื่อบรรจุในแผนกลยุทธ์มหาวิทยาลัยระยะ 5 ปี (พ.ศ. 2555 - 2559) มหาวิทยาลัยอุบลราชธานี</t>
  </si>
  <si>
    <t>โครงการสนับสนุนการจัดการศึกษาด้านวิทยาศาสตร์และเทคโนโลยี</t>
  </si>
  <si>
    <t>โครงการสนับสนุนการจัดการศึกษาด้านวิทยาศาสตร์สุขภาพ</t>
  </si>
  <si>
    <t>ส่วนกลาง</t>
  </si>
  <si>
    <t>โครงการสนับสนุนการจัดการศึกษาด้านสังคมศาสตร์</t>
  </si>
  <si>
    <t>โครงการสนับสนุนการวิจัยเพื่อถ่ายทอดเทคโนโลยี</t>
  </si>
  <si>
    <t>ผลรวม ของ 2556</t>
  </si>
  <si>
    <t>ค่า</t>
  </si>
  <si>
    <t>ผลรวม ของ 2555</t>
  </si>
  <si>
    <t>ผลรวม ของ 2557</t>
  </si>
  <si>
    <t>ผลรวม ของ 2558</t>
  </si>
  <si>
    <t>ผลรวม ของ 2559</t>
  </si>
  <si>
    <t>ปี 55 ไม่มีนักศึกษาที่จบตามมาตรฐานหลักสูตรที่ผ่าน TQF เนื่องจากหลักสูตรที่ผ่านหลักสูตรแรกคือ หลักสูตรพยาบาลศาสตร์ใช้ในปี 2553 คณะอื่นจะต้องผ่านเดือน มีนาคม 55 จะใช้หลักสูตรปีการศึกษา 2555 จึงจะทำให้มีบัณฑิตตามหลักสูตร TQF ในปี 2558 ยกเว้นคณะพยาบาลศาสตร์ที่จบปี 2556</t>
  </si>
  <si>
    <t>6.1 ระบบบริหารจัดการที่มีธรรมาภิบาล</t>
  </si>
  <si>
    <t xml:space="preserve">7.1 บุคลากรทำงานได้เต็มตามศักยภาพอย่างมีความสุข </t>
  </si>
  <si>
    <t>1. ระดับความสำเร็จของระบบบริหารจัดการที่ดีและมีธรรมาภิบาล (มอบ.2)</t>
  </si>
  <si>
    <t>หน่วยงาน</t>
  </si>
  <si>
    <t>ปีงบประมาณ</t>
  </si>
  <si>
    <t>ลำดับที่</t>
  </si>
  <si>
    <t>โครงการหลัก</t>
  </si>
  <si>
    <t>ผลการดำเนินงานปี 2554 ร้อยละ 82.21</t>
  </si>
  <si>
    <t xml:space="preserve">สรุปยอดรวมเงินงบประมาณและเงินรายได้ตามแผนกลยุทธ์เพื่อพัฒนามหาวิทยาลัยในระยะ 5 ปี พ.ศ. 2555 - 2559 รายจำแนกรายคณะ/สำนัก </t>
  </si>
  <si>
    <t>สรุปยอดรวมเงินงบประมาณและเงินรายได้ตามแผนกลยุทธ์เพื่อพัฒนามหาวิทยาลัยในระยะ 5 ปี พ.ศ. 2555 - 2559 จำแนกตามโครงการหลักของมหาวิทยาลัย</t>
  </si>
  <si>
    <t>ประเมินในภาพของมหาวิทยาลัย คณะ/สำนักส่งข้อมูลประกอบการประเมินและใช้คะแนนประเมินจากมหาวิทยาลัย</t>
  </si>
  <si>
    <t>คะแนน</t>
  </si>
  <si>
    <t>ประเมินในภาพของมหาวิทยาลัย คณะ/สำนักส่งข้อมูลประกอบการประเมิน และคณะไม่ต้องประเมินตัวชี้วัดนี้</t>
  </si>
  <si>
    <t>6.ผลการบริหารสถาบันให้เกิดอัตลักษณ์(สมศ.16.1)</t>
  </si>
  <si>
    <t>7.ผลการพัฒนาบัณฑิตตามอัตลักษณ์(สมศ.16.2)</t>
  </si>
  <si>
    <t>โครงการพัฒนาระบบและกลไกในการบริหารหลักสูตรตามแนวทางของ PDCA</t>
  </si>
  <si>
    <t>โครงการปรับปรุงหลักสูตรปริญญาตรีและระดับบัณฑิตศึกษา ตามกรอบมาตรฐานการอุดมศึกษาแห่งชาติ</t>
  </si>
  <si>
    <t>3.โครงการวิจัยความต้องการของตลาดในปัจจุบันและอนาคตเพื่อการพัฒนาหลักสูตร</t>
  </si>
  <si>
    <t>คณะศิลปประยุกต์ฯ</t>
  </si>
  <si>
    <t xml:space="preserve">โครงการจัดหาวารสาร สื่อการเรียนการสอน  </t>
  </si>
  <si>
    <t>โครงการปรับปรุงอาคารสภาพแวดล้อม  เพื่อส่งเสริมเจตคตินักศึกษา</t>
  </si>
  <si>
    <t>แผน</t>
  </si>
  <si>
    <t>ระดับ</t>
  </si>
  <si>
    <t>ปี 2556</t>
  </si>
  <si>
    <t>ปี 2555</t>
  </si>
  <si>
    <t>1. สร้างบัณฑิตที่มีคุณภาพและสมรรถนะตามมาตรฐานสากล สามารถเรียนรู้และพัฒนาตนเองได้อย่างต่อเนื่อง มีคุณธรรม ความรับผิดชอบ ความพอเพียง จิตสำนึกที่ดี และมีความพร้อมเพื่อรองรับการเปิดประชาคมอาเซียนพร้อมรองรับการเปลี่ยนแปลงในศตวรรษที่ ๒๑  โดยพัฒนาหลักสูตรให้ทันสมัย และจัดกระบวนการจัดการเรียนรู้ที่เน้นผู้เรียนเป็นสำคัญ และจัดให้มีทักษะการเรียนรู้จากประสบการณ์จริง</t>
  </si>
  <si>
    <t xml:space="preserve">3. พัฒนาขีดความสามารถด้านการวิจัยเพื่อยกระดับสู่การเป็นมหาวิทยาลัยวิจัยระดับชาติ ภูมิภาคลุ่มน้ำโขง และอาเซียน สนับสนุนความร่วมมือด้านการวิจัยกับหน่วยงานทั้งในและต่างประเทศ  โดยพัฒนาโครงสร้างพื้นฐานเพื่อส่งเสริมการวิจัย และส่งเสริมและสนับสนุนความร่วมมือด้านการวิจัยกับหน่วยงานทั้งในและต่างประเทศ </t>
  </si>
  <si>
    <t xml:space="preserve">4. ให้บริการวิชาการและถ่ายทอดเทคโนโลยีเพื่อยกระดับคุณภาพชีวิตของประชาชนเน้นในเขตภูมิภาคลุ่มน้ำโขง และอาเซียน  โดยเสริมสร้างความเข้มแข็งของการศึกษาขั้นพื้นฐาน ส่งเสริมและสนับสนุนการสร้างเสริมสุขภาวะและบริการสุขภาพ และสร้างเครือข่ายความร่วมมือกับชุมชนทุกภาคส่วน         </t>
  </si>
  <si>
    <t xml:space="preserve">5. สืบสาน เผยแผ่ ฟื้นฟู และอนุรักษ์ศิลปวัฒนธรรม ขนบธรรมเนียมประเพณีท้องถิ่น รวมทั้งเรียนรู้วัฒนธรรมของประเทศในภูมิภาคลุ่มน้ำโขง และอาเซียน โดยศึกษา ค้นคว้า วิจัย รวบรวมและจัดการความรู้ให้นักศึกษาและบุคลากรตระหนักถึงคุณค่าของศิลปวัฒนธรรม ประวัติศาสตร์ และภูมิปัญญาท้องถิ่น  </t>
  </si>
  <si>
    <t>6. พัฒนาระบบบริหารจัดการที่มีธรรมาภิบาลใช้ข้อมูลเป็นฐานในการตัดสินใจ โดยพัฒนาระบบสารสนเทศเพื่อการบริหาร และพัฒนาระบบประกันคุณภาพการศึกษา และส่งเสริมการอนุรักษ์สิ่งแวดล้อมและพลังงาน</t>
  </si>
  <si>
    <t>1.ร้อยละของบุคลากรที่มีความสุขในการปฏิบัติงาน  (ม.อบ.3)</t>
  </si>
  <si>
    <t>2. ร้อยละเฉลี่ยของบุคลากรที่มีสมรรถนะตามเกณฑ์
    มาตรฐานที่มหาวิทยาลัยกำหนด  (มอบ.4)</t>
  </si>
  <si>
    <t>(ตามมติที่ประชุมคณะคณะกรรมการฝ่ายวางแผน มหาวิทยาลัยอุบลราชธานี ครั้งที่ 4/2555 วันที่ 22 ตุลาคม พ.ศ. 2555)</t>
  </si>
  <si>
    <t xml:space="preserve">สรุปค่าเป้าหมายและผลการดำเนินงานตามตัวชี้วัดในช่วงแผนพัฒนาการศึกษาระดับอุดมศึกษา ระยะที่ 11 (พ.ศ. 2555 - 2559)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</si>
</sst>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_ ;\-0\ "/>
  </numFmts>
  <fonts count="20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4"/>
      <color theme="1"/>
      <name val="TH SarabunPSK"/>
      <family val="2"/>
    </font>
    <font>
      <b/>
      <sz val="18"/>
      <color theme="1"/>
      <name val="Tahoma"/>
      <family val="2"/>
      <charset val="222"/>
      <scheme val="minor"/>
    </font>
    <font>
      <b/>
      <sz val="12"/>
      <name val="TH SarabunPSK"/>
      <family val="2"/>
    </font>
    <font>
      <b/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</cellStyleXfs>
  <cellXfs count="3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4"/>
    </xf>
    <xf numFmtId="0" fontId="6" fillId="2" borderId="0" xfId="0" applyFont="1" applyFill="1"/>
    <xf numFmtId="0" fontId="6" fillId="2" borderId="7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/>
    <xf numFmtId="0" fontId="2" fillId="0" borderId="0" xfId="0" applyFont="1"/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" fillId="0" borderId="6" xfId="0" applyFont="1" applyBorder="1" applyAlignment="1">
      <alignment horizontal="center"/>
    </xf>
    <xf numFmtId="0" fontId="2" fillId="0" borderId="7" xfId="0" applyNumberFormat="1" applyFont="1" applyBorder="1" applyAlignment="1">
      <alignment vertical="top" wrapText="1"/>
    </xf>
    <xf numFmtId="0" fontId="6" fillId="0" borderId="7" xfId="2" applyFont="1" applyFill="1" applyBorder="1" applyAlignment="1">
      <alignment horizontal="left" vertical="top" wrapText="1"/>
    </xf>
    <xf numFmtId="0" fontId="2" fillId="0" borderId="11" xfId="0" applyFont="1" applyBorder="1" applyAlignment="1">
      <alignment vertical="top" wrapText="1"/>
    </xf>
    <xf numFmtId="187" fontId="6" fillId="2" borderId="7" xfId="1" applyNumberFormat="1" applyFont="1" applyFill="1" applyBorder="1" applyAlignment="1">
      <alignment horizontal="center" vertical="top" wrapText="1"/>
    </xf>
    <xf numFmtId="187" fontId="5" fillId="2" borderId="7" xfId="1" applyNumberFormat="1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/>
    </xf>
    <xf numFmtId="0" fontId="5" fillId="2" borderId="0" xfId="0" applyFont="1" applyFill="1" applyAlignment="1"/>
    <xf numFmtId="187" fontId="6" fillId="2" borderId="9" xfId="1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/>
    </xf>
    <xf numFmtId="0" fontId="5" fillId="2" borderId="0" xfId="0" applyFont="1" applyFill="1"/>
    <xf numFmtId="0" fontId="2" fillId="0" borderId="5" xfId="0" applyFont="1" applyBorder="1" applyAlignment="1"/>
    <xf numFmtId="0" fontId="13" fillId="2" borderId="0" xfId="0" applyFont="1" applyFill="1" applyAlignment="1"/>
    <xf numFmtId="0" fontId="6" fillId="0" borderId="5" xfId="0" applyFont="1" applyBorder="1" applyAlignment="1">
      <alignment vertical="top" wrapText="1"/>
    </xf>
    <xf numFmtId="0" fontId="14" fillId="0" borderId="0" xfId="0" applyFont="1"/>
    <xf numFmtId="0" fontId="5" fillId="2" borderId="9" xfId="0" applyFont="1" applyFill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2" borderId="7" xfId="0" applyFont="1" applyFill="1" applyBorder="1" applyAlignment="1"/>
    <xf numFmtId="0" fontId="6" fillId="2" borderId="7" xfId="0" applyFont="1" applyFill="1" applyBorder="1" applyAlignment="1">
      <alignment horizontal="left" vertical="top" wrapText="1"/>
    </xf>
    <xf numFmtId="0" fontId="6" fillId="0" borderId="7" xfId="2" applyFont="1" applyFill="1" applyBorder="1" applyAlignment="1">
      <alignment vertical="top" wrapText="1"/>
    </xf>
    <xf numFmtId="2" fontId="6" fillId="0" borderId="7" xfId="2" applyNumberFormat="1" applyFont="1" applyFill="1" applyBorder="1" applyAlignment="1">
      <alignment horizontal="left" vertical="top" wrapText="1"/>
    </xf>
    <xf numFmtId="3" fontId="6" fillId="0" borderId="7" xfId="2" applyNumberFormat="1" applyFont="1" applyFill="1" applyBorder="1" applyAlignment="1">
      <alignment horizontal="right" vertical="top" wrapText="1"/>
    </xf>
    <xf numFmtId="187" fontId="2" fillId="0" borderId="7" xfId="1" applyNumberFormat="1" applyFont="1" applyBorder="1" applyAlignment="1">
      <alignment vertical="top"/>
    </xf>
    <xf numFmtId="0" fontId="2" fillId="0" borderId="6" xfId="0" applyFont="1" applyBorder="1" applyAlignment="1">
      <alignment horizontal="center"/>
    </xf>
    <xf numFmtId="187" fontId="2" fillId="0" borderId="7" xfId="1" applyNumberFormat="1" applyFont="1" applyBorder="1" applyAlignment="1">
      <alignment vertical="top" wrapText="1"/>
    </xf>
    <xf numFmtId="187" fontId="2" fillId="2" borderId="7" xfId="1" applyNumberFormat="1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/>
    </xf>
    <xf numFmtId="187" fontId="6" fillId="0" borderId="7" xfId="4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left" vertical="top" wrapText="1"/>
    </xf>
    <xf numFmtId="0" fontId="6" fillId="2" borderId="9" xfId="0" applyFont="1" applyFill="1" applyBorder="1" applyAlignment="1"/>
    <xf numFmtId="0" fontId="6" fillId="2" borderId="8" xfId="0" applyFont="1" applyFill="1" applyBorder="1" applyAlignment="1"/>
    <xf numFmtId="0" fontId="2" fillId="0" borderId="7" xfId="0" applyFont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vertical="top"/>
    </xf>
    <xf numFmtId="187" fontId="6" fillId="0" borderId="7" xfId="4" applyNumberFormat="1" applyFont="1" applyBorder="1" applyAlignment="1">
      <alignment horizontal="center" vertical="top" shrinkToFit="1"/>
    </xf>
    <xf numFmtId="0" fontId="5" fillId="2" borderId="7" xfId="0" applyFont="1" applyFill="1" applyBorder="1" applyAlignment="1"/>
    <xf numFmtId="0" fontId="13" fillId="2" borderId="0" xfId="0" applyFont="1" applyFill="1"/>
    <xf numFmtId="1" fontId="13" fillId="2" borderId="6" xfId="0" applyNumberFormat="1" applyFont="1" applyFill="1" applyBorder="1" applyAlignment="1">
      <alignment horizontal="center"/>
    </xf>
    <xf numFmtId="187" fontId="6" fillId="2" borderId="7" xfId="4" applyNumberFormat="1" applyFont="1" applyFill="1" applyBorder="1" applyAlignment="1">
      <alignment horizontal="center" vertical="top" wrapText="1"/>
    </xf>
    <xf numFmtId="187" fontId="6" fillId="2" borderId="7" xfId="0" applyNumberFormat="1" applyFont="1" applyFill="1" applyBorder="1" applyAlignment="1">
      <alignment horizontal="center" vertical="top" wrapText="1"/>
    </xf>
    <xf numFmtId="187" fontId="6" fillId="2" borderId="7" xfId="4" applyNumberFormat="1" applyFont="1" applyFill="1" applyBorder="1" applyAlignment="1">
      <alignment horizontal="center" vertical="top"/>
    </xf>
    <xf numFmtId="187" fontId="2" fillId="0" borderId="7" xfId="1" applyNumberFormat="1" applyFont="1" applyBorder="1" applyAlignment="1">
      <alignment horizontal="left" vertical="top" wrapText="1"/>
    </xf>
    <xf numFmtId="0" fontId="2" fillId="0" borderId="7" xfId="0" applyFont="1" applyBorder="1" applyAlignment="1">
      <alignment vertical="top" wrapText="1"/>
    </xf>
    <xf numFmtId="3" fontId="5" fillId="2" borderId="7" xfId="0" applyNumberFormat="1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12" fillId="0" borderId="13" xfId="0" applyFont="1" applyBorder="1" applyAlignment="1">
      <alignment horizontal="center"/>
    </xf>
    <xf numFmtId="0" fontId="2" fillId="0" borderId="7" xfId="0" applyFont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43" fontId="6" fillId="2" borderId="0" xfId="1" applyFont="1" applyFill="1" applyAlignment="1"/>
    <xf numFmtId="0" fontId="2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5" fillId="0" borderId="13" xfId="0" applyFont="1" applyBorder="1" applyAlignment="1">
      <alignment horizontal="center"/>
    </xf>
    <xf numFmtId="0" fontId="6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/>
    </xf>
    <xf numFmtId="0" fontId="16" fillId="0" borderId="0" xfId="0" applyFont="1"/>
    <xf numFmtId="0" fontId="6" fillId="2" borderId="12" xfId="0" applyFont="1" applyFill="1" applyBorder="1" applyAlignment="1">
      <alignment horizontal="center" vertical="top"/>
    </xf>
    <xf numFmtId="187" fontId="2" fillId="0" borderId="8" xfId="1" applyNumberFormat="1" applyFont="1" applyBorder="1" applyAlignment="1">
      <alignment vertical="top"/>
    </xf>
    <xf numFmtId="187" fontId="2" fillId="0" borderId="9" xfId="1" applyNumberFormat="1" applyFont="1" applyBorder="1" applyAlignment="1">
      <alignment vertical="top"/>
    </xf>
    <xf numFmtId="3" fontId="16" fillId="0" borderId="7" xfId="0" applyNumberFormat="1" applyFont="1" applyBorder="1" applyAlignment="1">
      <alignment horizontal="center" vertical="top" wrapText="1"/>
    </xf>
    <xf numFmtId="43" fontId="16" fillId="0" borderId="7" xfId="1" applyFont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/>
    </xf>
    <xf numFmtId="0" fontId="16" fillId="0" borderId="5" xfId="0" applyFont="1" applyBorder="1"/>
    <xf numFmtId="0" fontId="2" fillId="0" borderId="5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3" fontId="16" fillId="0" borderId="5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vertical="top" wrapText="1"/>
    </xf>
    <xf numFmtId="0" fontId="12" fillId="0" borderId="13" xfId="0" applyFont="1" applyBorder="1" applyAlignment="1">
      <alignment horizontal="left"/>
    </xf>
    <xf numFmtId="0" fontId="0" fillId="0" borderId="5" xfId="0" applyBorder="1" applyAlignment="1"/>
    <xf numFmtId="0" fontId="16" fillId="0" borderId="11" xfId="0" applyFont="1" applyBorder="1"/>
    <xf numFmtId="0" fontId="6" fillId="2" borderId="11" xfId="0" applyFont="1" applyFill="1" applyBorder="1" applyAlignment="1">
      <alignment horizontal="center"/>
    </xf>
    <xf numFmtId="43" fontId="16" fillId="0" borderId="5" xfId="1" applyFont="1" applyBorder="1" applyAlignment="1">
      <alignment horizontal="center" vertical="top" wrapText="1"/>
    </xf>
    <xf numFmtId="0" fontId="13" fillId="2" borderId="6" xfId="0" applyFont="1" applyFill="1" applyBorder="1"/>
    <xf numFmtId="0" fontId="2" fillId="0" borderId="7" xfId="0" applyFont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5" fillId="2" borderId="9" xfId="0" applyFont="1" applyFill="1" applyBorder="1" applyAlignment="1"/>
    <xf numFmtId="187" fontId="5" fillId="2" borderId="9" xfId="1" applyNumberFormat="1" applyFont="1" applyFill="1" applyBorder="1" applyAlignment="1">
      <alignment horizontal="center" vertical="top" wrapText="1"/>
    </xf>
    <xf numFmtId="0" fontId="5" fillId="2" borderId="15" xfId="0" applyFont="1" applyFill="1" applyBorder="1"/>
    <xf numFmtId="0" fontId="5" fillId="2" borderId="15" xfId="0" applyFont="1" applyFill="1" applyBorder="1" applyAlignment="1">
      <alignment horizontal="center"/>
    </xf>
    <xf numFmtId="187" fontId="5" fillId="2" borderId="15" xfId="1" applyNumberFormat="1" applyFont="1" applyFill="1" applyBorder="1" applyAlignment="1">
      <alignment horizontal="center" vertical="top" wrapText="1"/>
    </xf>
    <xf numFmtId="187" fontId="2" fillId="2" borderId="11" xfId="1" applyNumberFormat="1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top"/>
    </xf>
    <xf numFmtId="187" fontId="6" fillId="2" borderId="11" xfId="1" applyNumberFormat="1" applyFont="1" applyFill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187" fontId="2" fillId="0" borderId="21" xfId="1" applyNumberFormat="1" applyFont="1" applyBorder="1" applyAlignment="1">
      <alignment vertical="top"/>
    </xf>
    <xf numFmtId="0" fontId="12" fillId="0" borderId="22" xfId="0" applyNumberFormat="1" applyFont="1" applyBorder="1" applyAlignment="1">
      <alignment vertical="top" wrapText="1"/>
    </xf>
    <xf numFmtId="0" fontId="17" fillId="0" borderId="18" xfId="0" applyFont="1" applyBorder="1" applyAlignment="1">
      <alignment vertical="top" wrapText="1"/>
    </xf>
    <xf numFmtId="0" fontId="13" fillId="0" borderId="18" xfId="0" applyFont="1" applyBorder="1" applyAlignment="1">
      <alignment horizontal="center" vertical="top" wrapText="1"/>
    </xf>
    <xf numFmtId="0" fontId="13" fillId="2" borderId="23" xfId="0" applyFont="1" applyFill="1" applyBorder="1" applyAlignment="1">
      <alignment horizontal="center" vertical="top"/>
    </xf>
    <xf numFmtId="187" fontId="12" fillId="0" borderId="18" xfId="1" applyNumberFormat="1" applyFont="1" applyBorder="1" applyAlignment="1">
      <alignment vertical="top"/>
    </xf>
    <xf numFmtId="187" fontId="12" fillId="0" borderId="24" xfId="1" applyNumberFormat="1" applyFont="1" applyBorder="1" applyAlignment="1">
      <alignment vertical="top"/>
    </xf>
    <xf numFmtId="187" fontId="12" fillId="0" borderId="13" xfId="1" applyNumberFormat="1" applyFont="1" applyBorder="1" applyAlignment="1">
      <alignment horizontal="center"/>
    </xf>
    <xf numFmtId="187" fontId="6" fillId="2" borderId="7" xfId="1" applyNumberFormat="1" applyFont="1" applyFill="1" applyBorder="1" applyAlignment="1">
      <alignment vertical="top"/>
    </xf>
    <xf numFmtId="187" fontId="6" fillId="0" borderId="7" xfId="1" applyNumberFormat="1" applyFont="1" applyFill="1" applyBorder="1" applyAlignment="1">
      <alignment horizontal="right" vertical="top" wrapText="1"/>
    </xf>
    <xf numFmtId="187" fontId="6" fillId="0" borderId="7" xfId="1" applyNumberFormat="1" applyFont="1" applyFill="1" applyBorder="1" applyAlignment="1">
      <alignment horizontal="center" vertical="top" wrapText="1"/>
    </xf>
    <xf numFmtId="187" fontId="6" fillId="2" borderId="7" xfId="1" applyNumberFormat="1" applyFont="1" applyFill="1" applyBorder="1" applyAlignment="1">
      <alignment horizontal="center" vertical="top"/>
    </xf>
    <xf numFmtId="187" fontId="6" fillId="0" borderId="7" xfId="1" applyNumberFormat="1" applyFont="1" applyBorder="1" applyAlignment="1">
      <alignment horizontal="center" vertical="top" shrinkToFit="1"/>
    </xf>
    <xf numFmtId="187" fontId="16" fillId="0" borderId="7" xfId="1" applyNumberFormat="1" applyFont="1" applyBorder="1" applyAlignment="1">
      <alignment horizontal="center" vertical="top" wrapText="1"/>
    </xf>
    <xf numFmtId="187" fontId="6" fillId="2" borderId="7" xfId="1" applyNumberFormat="1" applyFont="1" applyFill="1" applyBorder="1" applyAlignment="1"/>
    <xf numFmtId="187" fontId="16" fillId="0" borderId="11" xfId="1" applyNumberFormat="1" applyFont="1" applyBorder="1" applyAlignment="1">
      <alignment horizontal="center" vertical="top" wrapText="1"/>
    </xf>
    <xf numFmtId="187" fontId="6" fillId="2" borderId="0" xfId="1" applyNumberFormat="1" applyFont="1" applyFill="1" applyAlignment="1"/>
    <xf numFmtId="188" fontId="13" fillId="2" borderId="6" xfId="1" applyNumberFormat="1" applyFont="1" applyFill="1" applyBorder="1" applyAlignment="1">
      <alignment horizontal="center"/>
    </xf>
    <xf numFmtId="0" fontId="2" fillId="0" borderId="13" xfId="0" applyFont="1" applyBorder="1"/>
    <xf numFmtId="0" fontId="6" fillId="2" borderId="25" xfId="0" applyFont="1" applyFill="1" applyBorder="1" applyAlignment="1">
      <alignment horizontal="center" vertical="top"/>
    </xf>
    <xf numFmtId="187" fontId="2" fillId="0" borderId="11" xfId="1" applyNumberFormat="1" applyFont="1" applyBorder="1" applyAlignment="1">
      <alignment vertical="top"/>
    </xf>
    <xf numFmtId="0" fontId="5" fillId="2" borderId="15" xfId="0" applyFont="1" applyFill="1" applyBorder="1" applyAlignment="1"/>
    <xf numFmtId="0" fontId="5" fillId="2" borderId="15" xfId="0" applyFont="1" applyFill="1" applyBorder="1" applyAlignment="1">
      <alignment horizontal="center" vertical="top"/>
    </xf>
    <xf numFmtId="0" fontId="6" fillId="0" borderId="11" xfId="0" applyFont="1" applyBorder="1" applyAlignment="1">
      <alignment vertical="top" wrapText="1"/>
    </xf>
    <xf numFmtId="0" fontId="5" fillId="2" borderId="20" xfId="0" applyFont="1" applyFill="1" applyBorder="1" applyAlignment="1"/>
    <xf numFmtId="0" fontId="5" fillId="2" borderId="20" xfId="0" applyFont="1" applyFill="1" applyBorder="1" applyAlignment="1">
      <alignment horizontal="center" vertical="top"/>
    </xf>
    <xf numFmtId="187" fontId="5" fillId="2" borderId="20" xfId="1" applyNumberFormat="1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vertical="top" wrapText="1"/>
    </xf>
    <xf numFmtId="0" fontId="6" fillId="0" borderId="11" xfId="2" applyFont="1" applyFill="1" applyBorder="1" applyAlignment="1">
      <alignment horizontal="left" vertical="top" wrapText="1"/>
    </xf>
    <xf numFmtId="187" fontId="2" fillId="0" borderId="11" xfId="1" applyNumberFormat="1" applyFont="1" applyBorder="1" applyAlignment="1">
      <alignment horizontal="left" vertical="top" wrapText="1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187" fontId="12" fillId="0" borderId="0" xfId="1" applyNumberFormat="1" applyFont="1" applyBorder="1" applyAlignment="1">
      <alignment horizontal="center"/>
    </xf>
    <xf numFmtId="0" fontId="13" fillId="2" borderId="0" xfId="0" applyFont="1" applyFill="1" applyBorder="1" applyAlignment="1"/>
    <xf numFmtId="0" fontId="14" fillId="0" borderId="0" xfId="0" applyFont="1" applyBorder="1" applyAlignment="1">
      <alignment horizontal="left"/>
    </xf>
    <xf numFmtId="0" fontId="5" fillId="2" borderId="9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/>
    </xf>
    <xf numFmtId="0" fontId="6" fillId="2" borderId="17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187" fontId="2" fillId="2" borderId="8" xfId="1" applyNumberFormat="1" applyFont="1" applyFill="1" applyBorder="1" applyAlignment="1">
      <alignment vertical="top" wrapText="1"/>
    </xf>
    <xf numFmtId="187" fontId="6" fillId="2" borderId="8" xfId="1" applyNumberFormat="1" applyFont="1" applyFill="1" applyBorder="1" applyAlignment="1">
      <alignment horizontal="center" vertical="top" wrapText="1"/>
    </xf>
    <xf numFmtId="0" fontId="6" fillId="2" borderId="26" xfId="0" applyFont="1" applyFill="1" applyBorder="1" applyAlignment="1">
      <alignment horizontal="center" vertical="top"/>
    </xf>
    <xf numFmtId="187" fontId="2" fillId="0" borderId="10" xfId="1" applyNumberFormat="1" applyFont="1" applyBorder="1" applyAlignment="1">
      <alignment vertical="top"/>
    </xf>
    <xf numFmtId="187" fontId="2" fillId="0" borderId="26" xfId="1" applyNumberFormat="1" applyFont="1" applyBorder="1" applyAlignment="1">
      <alignment vertical="top"/>
    </xf>
    <xf numFmtId="187" fontId="2" fillId="0" borderId="8" xfId="1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/>
    </xf>
    <xf numFmtId="0" fontId="0" fillId="0" borderId="14" xfId="0" applyBorder="1"/>
    <xf numFmtId="0" fontId="0" fillId="0" borderId="0" xfId="0" pivotButton="1"/>
    <xf numFmtId="0" fontId="6" fillId="2" borderId="8" xfId="0" applyFont="1" applyFill="1" applyBorder="1" applyAlignment="1">
      <alignment horizontal="left" vertical="top" wrapText="1"/>
    </xf>
    <xf numFmtId="187" fontId="0" fillId="0" borderId="0" xfId="0" applyNumberFormat="1"/>
    <xf numFmtId="0" fontId="6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5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13" fillId="2" borderId="16" xfId="0" applyFont="1" applyFill="1" applyBorder="1" applyAlignment="1"/>
    <xf numFmtId="0" fontId="13" fillId="2" borderId="5" xfId="0" applyFont="1" applyFill="1" applyBorder="1" applyAlignment="1"/>
    <xf numFmtId="2" fontId="5" fillId="2" borderId="9" xfId="0" applyNumberFormat="1" applyFont="1" applyFill="1" applyBorder="1" applyAlignment="1">
      <alignment horizontal="center" vertical="top"/>
    </xf>
    <xf numFmtId="2" fontId="6" fillId="2" borderId="9" xfId="0" applyNumberFormat="1" applyFont="1" applyFill="1" applyBorder="1" applyAlignment="1">
      <alignment horizontal="center" vertical="top"/>
    </xf>
    <xf numFmtId="2" fontId="6" fillId="2" borderId="11" xfId="0" applyNumberFormat="1" applyFont="1" applyFill="1" applyBorder="1" applyAlignment="1">
      <alignment horizontal="center" vertical="top"/>
    </xf>
    <xf numFmtId="2" fontId="6" fillId="0" borderId="9" xfId="0" applyNumberFormat="1" applyFont="1" applyFill="1" applyBorder="1" applyAlignment="1">
      <alignment horizontal="center" vertical="top"/>
    </xf>
    <xf numFmtId="2" fontId="6" fillId="0" borderId="11" xfId="0" applyNumberFormat="1" applyFont="1" applyFill="1" applyBorder="1" applyAlignment="1">
      <alignment horizontal="center" vertical="top"/>
    </xf>
    <xf numFmtId="43" fontId="6" fillId="2" borderId="9" xfId="1" applyFont="1" applyFill="1" applyBorder="1" applyAlignment="1">
      <alignment horizontal="center" vertical="top"/>
    </xf>
    <xf numFmtId="2" fontId="6" fillId="2" borderId="7" xfId="0" applyNumberFormat="1" applyFont="1" applyFill="1" applyBorder="1" applyAlignment="1">
      <alignment horizontal="center" vertical="top"/>
    </xf>
    <xf numFmtId="2" fontId="6" fillId="2" borderId="17" xfId="0" applyNumberFormat="1" applyFont="1" applyFill="1" applyBorder="1" applyAlignment="1">
      <alignment horizontal="center" vertical="top"/>
    </xf>
    <xf numFmtId="2" fontId="5" fillId="2" borderId="9" xfId="0" applyNumberFormat="1" applyFont="1" applyFill="1" applyBorder="1" applyAlignment="1">
      <alignment horizontal="center" vertical="top" wrapText="1"/>
    </xf>
    <xf numFmtId="2" fontId="6" fillId="2" borderId="10" xfId="0" applyNumberFormat="1" applyFont="1" applyFill="1" applyBorder="1" applyAlignment="1">
      <alignment horizontal="center" vertical="top"/>
    </xf>
    <xf numFmtId="2" fontId="5" fillId="2" borderId="15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2" fontId="6" fillId="2" borderId="21" xfId="0" applyNumberFormat="1" applyFont="1" applyFill="1" applyBorder="1" applyAlignment="1">
      <alignment horizontal="center" vertical="top" wrapText="1"/>
    </xf>
    <xf numFmtId="187" fontId="0" fillId="0" borderId="0" xfId="0" applyNumberFormat="1" applyFill="1"/>
    <xf numFmtId="0" fontId="15" fillId="0" borderId="0" xfId="0" applyFont="1"/>
    <xf numFmtId="187" fontId="2" fillId="0" borderId="15" xfId="0" applyNumberFormat="1" applyFont="1" applyBorder="1"/>
    <xf numFmtId="187" fontId="2" fillId="0" borderId="7" xfId="0" applyNumberFormat="1" applyFont="1" applyBorder="1"/>
    <xf numFmtId="187" fontId="2" fillId="0" borderId="7" xfId="0" applyNumberFormat="1" applyFont="1" applyFill="1" applyBorder="1"/>
    <xf numFmtId="0" fontId="1" fillId="0" borderId="14" xfId="0" applyFont="1" applyBorder="1" applyAlignment="1">
      <alignment horizontal="center"/>
    </xf>
    <xf numFmtId="0" fontId="12" fillId="0" borderId="0" xfId="0" applyFont="1"/>
    <xf numFmtId="0" fontId="1" fillId="3" borderId="5" xfId="0" applyFont="1" applyFill="1" applyBorder="1"/>
    <xf numFmtId="187" fontId="1" fillId="3" borderId="5" xfId="0" applyNumberFormat="1" applyFont="1" applyFill="1" applyBorder="1"/>
    <xf numFmtId="187" fontId="2" fillId="0" borderId="11" xfId="0" applyNumberFormat="1" applyFont="1" applyFill="1" applyBorder="1"/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 applyNumberFormat="1"/>
    <xf numFmtId="0" fontId="1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top"/>
    </xf>
    <xf numFmtId="187" fontId="2" fillId="0" borderId="15" xfId="1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187" fontId="2" fillId="0" borderId="7" xfId="1" applyNumberFormat="1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187" fontId="1" fillId="3" borderId="11" xfId="1" applyNumberFormat="1" applyFont="1" applyFill="1" applyBorder="1" applyAlignment="1">
      <alignment horizontal="center" vertical="top"/>
    </xf>
    <xf numFmtId="187" fontId="2" fillId="0" borderId="15" xfId="1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5" fillId="2" borderId="1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top" wrapText="1"/>
    </xf>
    <xf numFmtId="43" fontId="5" fillId="0" borderId="9" xfId="1" applyFont="1" applyFill="1" applyBorder="1" applyAlignment="1">
      <alignment horizontal="center" vertical="top"/>
    </xf>
    <xf numFmtId="43" fontId="5" fillId="0" borderId="11" xfId="1" applyFont="1" applyFill="1" applyBorder="1" applyAlignment="1">
      <alignment horizontal="center" vertical="top"/>
    </xf>
    <xf numFmtId="2" fontId="6" fillId="2" borderId="21" xfId="0" applyNumberFormat="1" applyFont="1" applyFill="1" applyBorder="1" applyAlignment="1">
      <alignment horizontal="center" vertical="top"/>
    </xf>
    <xf numFmtId="43" fontId="6" fillId="2" borderId="21" xfId="1" applyFont="1" applyFill="1" applyBorder="1" applyAlignment="1">
      <alignment horizontal="center" vertical="top"/>
    </xf>
    <xf numFmtId="187" fontId="6" fillId="2" borderId="7" xfId="1" applyNumberFormat="1" applyFont="1" applyFill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2" borderId="31" xfId="0" applyFont="1" applyFill="1" applyBorder="1" applyAlignment="1">
      <alignment horizontal="center" vertical="top"/>
    </xf>
    <xf numFmtId="0" fontId="12" fillId="0" borderId="32" xfId="0" applyNumberFormat="1" applyFont="1" applyBorder="1" applyAlignment="1">
      <alignment vertical="top" wrapText="1"/>
    </xf>
    <xf numFmtId="0" fontId="17" fillId="0" borderId="17" xfId="0" applyFont="1" applyBorder="1" applyAlignment="1">
      <alignment vertical="top" wrapText="1"/>
    </xf>
    <xf numFmtId="0" fontId="13" fillId="0" borderId="17" xfId="0" applyFont="1" applyBorder="1" applyAlignment="1">
      <alignment horizontal="center" vertical="top" wrapText="1"/>
    </xf>
    <xf numFmtId="187" fontId="12" fillId="0" borderId="17" xfId="1" applyNumberFormat="1" applyFont="1" applyBorder="1" applyAlignment="1">
      <alignment vertical="top"/>
    </xf>
    <xf numFmtId="187" fontId="12" fillId="0" borderId="33" xfId="1" applyNumberFormat="1" applyFont="1" applyBorder="1" applyAlignment="1">
      <alignment vertical="top"/>
    </xf>
    <xf numFmtId="0" fontId="13" fillId="2" borderId="30" xfId="0" applyFont="1" applyFill="1" applyBorder="1" applyAlignment="1">
      <alignment horizontal="center" vertical="top"/>
    </xf>
    <xf numFmtId="0" fontId="0" fillId="0" borderId="7" xfId="0" applyBorder="1" applyAlignment="1">
      <alignment vertical="top" wrapText="1"/>
    </xf>
    <xf numFmtId="0" fontId="2" fillId="0" borderId="11" xfId="0" applyNumberFormat="1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0" borderId="8" xfId="0" applyNumberFormat="1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5" fillId="2" borderId="10" xfId="0" applyFont="1" applyFill="1" applyBorder="1" applyAlignment="1">
      <alignment horizontal="left" vertical="center"/>
    </xf>
    <xf numFmtId="0" fontId="1" fillId="2" borderId="34" xfId="0" applyFont="1" applyFill="1" applyBorder="1" applyAlignment="1">
      <alignment horizontal="left" vertical="top" wrapText="1"/>
    </xf>
    <xf numFmtId="2" fontId="5" fillId="2" borderId="34" xfId="0" applyNumberFormat="1" applyFont="1" applyFill="1" applyBorder="1" applyAlignment="1">
      <alignment horizontal="center" vertical="top" wrapText="1"/>
    </xf>
    <xf numFmtId="0" fontId="5" fillId="2" borderId="34" xfId="0" applyFont="1" applyFill="1" applyBorder="1" applyAlignment="1">
      <alignment horizontal="left"/>
    </xf>
    <xf numFmtId="2" fontId="6" fillId="2" borderId="34" xfId="0" applyNumberFormat="1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2" fontId="6" fillId="2" borderId="11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 wrapText="1"/>
    </xf>
    <xf numFmtId="2" fontId="5" fillId="2" borderId="5" xfId="0" applyNumberFormat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 wrapText="1"/>
    </xf>
    <xf numFmtId="0" fontId="19" fillId="2" borderId="10" xfId="0" applyFont="1" applyFill="1" applyBorder="1" applyAlignment="1">
      <alignment vertical="top" wrapText="1"/>
    </xf>
    <xf numFmtId="0" fontId="0" fillId="2" borderId="10" xfId="0" applyFill="1" applyBorder="1" applyAlignment="1"/>
    <xf numFmtId="0" fontId="0" fillId="2" borderId="5" xfId="0" applyFill="1" applyBorder="1" applyAlignment="1"/>
    <xf numFmtId="0" fontId="5" fillId="2" borderId="19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2" borderId="17" xfId="0" applyFill="1" applyBorder="1" applyAlignment="1">
      <alignment vertical="top" wrapText="1"/>
    </xf>
    <xf numFmtId="0" fontId="18" fillId="2" borderId="19" xfId="0" applyFont="1" applyFill="1" applyBorder="1" applyAlignment="1">
      <alignment horizontal="left" vertical="top" wrapText="1"/>
    </xf>
    <xf numFmtId="0" fontId="18" fillId="2" borderId="10" xfId="0" applyFont="1" applyFill="1" applyBorder="1" applyAlignment="1">
      <alignment horizontal="left" vertical="top" wrapText="1"/>
    </xf>
    <xf numFmtId="0" fontId="18" fillId="2" borderId="9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5" fillId="2" borderId="16" xfId="0" applyFont="1" applyFill="1" applyBorder="1" applyAlignment="1">
      <alignment vertical="top" wrapText="1"/>
    </xf>
    <xf numFmtId="0" fontId="0" fillId="2" borderId="17" xfId="0" applyFill="1" applyBorder="1" applyAlignment="1">
      <alignment vertical="top"/>
    </xf>
    <xf numFmtId="0" fontId="5" fillId="2" borderId="17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19" xfId="0" applyFont="1" applyFill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21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2" fontId="6" fillId="2" borderId="9" xfId="0" applyNumberFormat="1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left" vertical="top" wrapText="1"/>
    </xf>
    <xf numFmtId="43" fontId="5" fillId="0" borderId="14" xfId="1" applyFont="1" applyFill="1" applyBorder="1" applyAlignment="1">
      <alignment horizontal="center" vertical="top"/>
    </xf>
    <xf numFmtId="2" fontId="5" fillId="0" borderId="14" xfId="0" applyNumberFormat="1" applyFont="1" applyFill="1" applyBorder="1" applyAlignment="1">
      <alignment horizontal="center" vertical="top"/>
    </xf>
    <xf numFmtId="2" fontId="5" fillId="2" borderId="14" xfId="0" applyNumberFormat="1" applyFont="1" applyFill="1" applyBorder="1" applyAlignment="1">
      <alignment horizontal="center" vertical="top"/>
    </xf>
    <xf numFmtId="2" fontId="5" fillId="2" borderId="11" xfId="0" applyNumberFormat="1" applyFont="1" applyFill="1" applyBorder="1" applyAlignment="1">
      <alignment horizontal="center" vertical="top"/>
    </xf>
    <xf numFmtId="0" fontId="5" fillId="2" borderId="34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center" vertical="top" wrapText="1"/>
    </xf>
    <xf numFmtId="2" fontId="5" fillId="2" borderId="34" xfId="0" applyNumberFormat="1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left" vertical="top"/>
    </xf>
    <xf numFmtId="2" fontId="5" fillId="2" borderId="14" xfId="0" applyNumberFormat="1" applyFont="1" applyFill="1" applyBorder="1" applyAlignment="1">
      <alignment horizontal="center" vertical="top" wrapText="1"/>
    </xf>
    <xf numFmtId="0" fontId="6" fillId="2" borderId="34" xfId="0" applyFont="1" applyFill="1" applyBorder="1" applyAlignment="1">
      <alignment horizontal="left"/>
    </xf>
    <xf numFmtId="0" fontId="2" fillId="0" borderId="7" xfId="0" applyFont="1" applyBorder="1" applyAlignment="1">
      <alignment vertical="top" wrapText="1"/>
    </xf>
    <xf numFmtId="0" fontId="2" fillId="0" borderId="11" xfId="0" applyFont="1" applyBorder="1" applyAlignment="1">
      <alignment vertical="top"/>
    </xf>
    <xf numFmtId="0" fontId="1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1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5" fillId="2" borderId="16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 wrapText="1"/>
    </xf>
    <xf numFmtId="0" fontId="5" fillId="2" borderId="19" xfId="0" applyFont="1" applyFill="1" applyBorder="1" applyAlignment="1">
      <alignment horizontal="left" vertical="top" wrapText="1"/>
    </xf>
    <xf numFmtId="0" fontId="5" fillId="2" borderId="19" xfId="0" applyNumberFormat="1" applyFont="1" applyFill="1" applyBorder="1" applyAlignment="1">
      <alignment horizontal="left" vertical="top" wrapText="1"/>
    </xf>
    <xf numFmtId="0" fontId="5" fillId="2" borderId="10" xfId="0" applyNumberFormat="1" applyFont="1" applyFill="1" applyBorder="1" applyAlignment="1">
      <alignment horizontal="left" vertical="top" wrapText="1"/>
    </xf>
    <xf numFmtId="0" fontId="5" fillId="2" borderId="5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7" xfId="0" applyBorder="1"/>
    <xf numFmtId="0" fontId="5" fillId="2" borderId="5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/>
    </xf>
    <xf numFmtId="0" fontId="2" fillId="0" borderId="19" xfId="0" applyFont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0" fillId="0" borderId="10" xfId="0" applyBorder="1" applyAlignment="1"/>
    <xf numFmtId="0" fontId="0" fillId="0" borderId="5" xfId="0" applyBorder="1" applyAlignment="1"/>
    <xf numFmtId="0" fontId="5" fillId="0" borderId="16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9" xfId="0" applyBorder="1" applyAlignment="1"/>
    <xf numFmtId="0" fontId="5" fillId="2" borderId="19" xfId="0" applyFont="1" applyFill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6" fillId="2" borderId="27" xfId="0" applyFont="1" applyFill="1" applyBorder="1" applyAlignment="1">
      <alignment vertical="top" wrapText="1"/>
    </xf>
    <xf numFmtId="0" fontId="6" fillId="2" borderId="28" xfId="0" applyFont="1" applyFill="1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5" fillId="2" borderId="16" xfId="0" applyFont="1" applyFill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187" fontId="13" fillId="2" borderId="6" xfId="1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" fillId="0" borderId="16" xfId="0" applyNumberFormat="1" applyFont="1" applyBorder="1" applyAlignment="1">
      <alignment vertical="top" wrapText="1"/>
    </xf>
    <xf numFmtId="0" fontId="2" fillId="0" borderId="10" xfId="0" applyNumberFormat="1" applyFont="1" applyBorder="1" applyAlignment="1">
      <alignment vertical="top" wrapText="1"/>
    </xf>
    <xf numFmtId="187" fontId="13" fillId="2" borderId="16" xfId="1" applyNumberFormat="1" applyFont="1" applyFill="1" applyBorder="1" applyAlignment="1">
      <alignment horizontal="center" vertical="center"/>
    </xf>
    <xf numFmtId="187" fontId="13" fillId="2" borderId="5" xfId="1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0" fillId="0" borderId="13" xfId="0" applyBorder="1" applyAlignment="1"/>
  </cellXfs>
  <cellStyles count="5">
    <cellStyle name="Normal 2" xfId="3"/>
    <cellStyle name="เครื่องหมายจุลภาค" xfId="1" builtinId="3"/>
    <cellStyle name="เครื่องหมายจุลภาค 2" xfId="4"/>
    <cellStyle name="ปกติ" xfId="0" builtinId="0"/>
    <cellStyle name="ปกติ 2" xfId="2"/>
  </cellStyles>
  <dxfs count="1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numFmt numFmtId="187" formatCode="_-* #,##0_-;\-* #,##0_-;_-* &quot;-&quot;??_-;_-@_-"/>
    </dxf>
    <dxf>
      <numFmt numFmtId="35" formatCode="_-* #,##0.00_-;\-* #,##0.00_-;_-* &quot;-&quot;??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lan" refreshedDate="40954.420826041664" createdVersion="3" refreshedVersion="3" minRefreshableVersion="3" recordCount="216">
  <cacheSource type="worksheet">
    <worksheetSource ref="A4:J220" sheet="ฐานข้อมูล"/>
  </cacheSource>
  <cacheFields count="10">
    <cacheField name="กลยุทธ์" numFmtId="0">
      <sharedItems containsSemiMixedTypes="0" containsString="0" containsNumber="1" containsInteger="1" minValue="1" maxValue="7"/>
    </cacheField>
    <cacheField name="ชื่อโครงการหลักมหาวิทยาลัย" numFmtId="0">
      <sharedItems count="20">
        <s v="โครงการผลิตบัณฑิตด้านวิทยาศาสตร์และเทคโนโลยี"/>
        <s v=" โครงการผลิตบัณฑิตด้านวิทยาศาสตร์สุขภาพ"/>
        <s v="โครงการผลิตบัณฑิตด้านสังคมศาสตร์"/>
        <s v=" โครงการพัฒนาระบบการเรียนการสอนที่เน้นผู้เรียนเป็นสำคัญ ทั้งในด้านรูปแบบการเรียนการสอน การพัฒนาหลักสูตร และการพัฒนาการเรียนการสอน"/>
        <s v="โครงการส่งเสริมจรรยาบรรณวิชาชีพคณาจารย์ ทั้งในด้านการปฏิบัติตามจรรยาบรรณ การออกกฎ ระเบียบต่างๆ การรณรงค์ส่งเสรมจรรยาบรรรณวิชาชีพอาจารย์"/>
        <s v="โครงการพัฒนาระบบกลไกการบริหารงานวิจัยของมหาวิทยาลัย"/>
        <s v="โครงการวิจัยเพื่อสร้างองค์ความรู้"/>
        <s v="โครงการวิจัยเพื่อถ่ายทอดเทคโนโลยี"/>
        <s v="โครงการบริการวิชาการของมหาวิทยาลัย"/>
        <s v="โครงการเครือข่ายความร่วมมือกับชุมชน หน่วยงานของรัฐ และ ภาคธุรกิจอุตสาหกรรม"/>
        <s v="โครงการประชุมสัมมนาและอบรมวิชาชีพต่างๆ เพื่อเสริมสร้างความมั่นคงในการประกอบอาชีพ"/>
        <s v="โครงการสร้างเสริมสุขภาวะและบริการสุขภาพแก่ชุมชน"/>
        <s v="โครงการสนับสนุนจัดการศึกษาขั้นพื้นฐาน"/>
        <s v="โครงการพัฒนาระบบและกลไกการบริหารงานทำนุบำรุงศิลปวัฒนธรรม "/>
        <s v="โครงการศึกษา ค้นคว้า วิจัย รวบรวมและเผยแพร่องค์ความรู้และภูมิปัญญาด้านศิลปวัฒนธรรม ขนบธรรมเนียมและประเพณี"/>
        <s v="โครงการพัฒนาระบบบริหารจัดการของมหาวิทยาลัย"/>
        <s v="โครงการพัฒนาระบบฐานข้อมูลสารสนเทศเพื่อการบริหารจัดการ"/>
        <s v="โครงการอบรม ประชุม สัมมนา เพื่อพัฒนาระบบบริหารทรัพยากรมนุษย์"/>
        <s v="โครงการระบบสาธารณูปโภคและโครงสร้างพื้นฐานของมหาวิทยาลัย"/>
        <s v="โครงการจัดการความรู้ "/>
      </sharedItems>
    </cacheField>
    <cacheField name="ชื่อโครงการของคณะ/สำนักที่สอดคล้องกับโครงการหลักมหาวิทยาลัย" numFmtId="0">
      <sharedItems/>
    </cacheField>
    <cacheField name="หน่วยงานที่รับผิดชอบ" numFmtId="0">
      <sharedItems count="14">
        <s v="คณะวิทยาศาสตร์"/>
        <s v="คณะเกษตรศาสตร์"/>
        <s v="คณะวิศวกรรมศาสตร์"/>
        <s v="ส่วนกลาง"/>
        <s v="วิทยาแพทย์ฯ"/>
        <s v="คณะพยาบาลศาสตร์"/>
        <s v="คณะเภสัชศาสตร์"/>
        <s v="คณะนิติศาสตร์"/>
        <s v="คณะรัฐศาสตร์"/>
        <s v="คณะบริหารศาสตร์"/>
        <s v="วิทยาเขตมุกดาหาร"/>
        <s v="คณะศิลปศาสตร์"/>
        <s v="สำนักวิทยบริการ"/>
        <s v="สำนักคอมพิวเตอร์ฯ"/>
      </sharedItems>
    </cacheField>
    <cacheField name="2555" numFmtId="0">
      <sharedItems containsSemiMixedTypes="0" containsString="0" containsNumber="1" containsInteger="1" minValue="0" maxValue="430806200"/>
    </cacheField>
    <cacheField name="2556" numFmtId="0">
      <sharedItems containsSemiMixedTypes="0" containsString="0" containsNumber="1" containsInteger="1" minValue="0" maxValue="478673500"/>
    </cacheField>
    <cacheField name="2557" numFmtId="0">
      <sharedItems containsSemiMixedTypes="0" containsString="0" containsNumber="1" containsInteger="1" minValue="0" maxValue="526540900"/>
    </cacheField>
    <cacheField name="2558" numFmtId="0">
      <sharedItems containsSemiMixedTypes="0" containsString="0" containsNumber="1" containsInteger="1" minValue="0" maxValue="579195000"/>
    </cacheField>
    <cacheField name="2559" numFmtId="0">
      <sharedItems containsSemiMixedTypes="0" containsString="0" containsNumber="1" containsInteger="1" minValue="0" maxValue="637114500"/>
    </cacheField>
    <cacheField name="รวม" numFmtId="187">
      <sharedItems containsSemiMixedTypes="0" containsString="0" containsNumber="1" containsInteger="1" minValue="8500" maxValue="26523301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6">
  <r>
    <n v="1"/>
    <x v="0"/>
    <s v="โครงการจัดการศึกษาสาขาวิทยาศาสตร์"/>
    <x v="0"/>
    <n v="22254100"/>
    <n v="25000000"/>
    <n v="28000000"/>
    <n v="32000000"/>
    <n v="36000000"/>
    <n v="143254100"/>
  </r>
  <r>
    <n v="1"/>
    <x v="0"/>
    <s v="โครงการพัฒนากำลังคนด้านวิทยาศาสตร์&#10;   (ทุนเรียนดีวิทยาศาสตร์แห่งประเทศไทย)"/>
    <x v="0"/>
    <n v="1383400"/>
    <n v="1500000"/>
    <n v="1600000"/>
    <n v="1700000"/>
    <n v="1800000"/>
    <n v="7983400"/>
  </r>
  <r>
    <n v="1"/>
    <x v="0"/>
    <s v="โครงการจัดการศึกษาสาขาเกษตรศาสตร์ (สาขาพืชไร่ พืชสวนสัตวศาสตร์ ประมง อุตสาหกรรมเกษตร&#10;  "/>
    <x v="1"/>
    <n v="40957000"/>
    <n v="47351700"/>
    <n v="50328800"/>
    <n v="54182000"/>
    <n v="57586400"/>
    <n v="250405900"/>
  </r>
  <r>
    <n v="1"/>
    <x v="0"/>
    <s v="โครงการจัดหาครุภัณฑ์ ที่ดินและสิ่งก่อสร้าง"/>
    <x v="1"/>
    <n v="3379000"/>
    <n v="60891000"/>
    <n v="13700000"/>
    <n v="11750000"/>
    <n v="21500000"/>
    <n v="111220000"/>
  </r>
  <r>
    <n v="1"/>
    <x v="0"/>
    <s v="โครงการบริหารจัดการและสนับสนุนการผลิตบัณฑิตคณะเกษตรศาสตร์"/>
    <x v="1"/>
    <n v="3000000"/>
    <n v="3500000"/>
    <n v="3500000"/>
    <n v="4000000"/>
    <n v="4000000"/>
    <n v="18000000"/>
  </r>
  <r>
    <n v="1"/>
    <x v="0"/>
    <s v="โครงการผลิตบัณฑิต คณะวิศวกรรมศาสตร์ "/>
    <x v="2"/>
    <n v="25000000"/>
    <n v="26000000"/>
    <n v="27000000"/>
    <n v="28000000"/>
    <n v="29000000"/>
    <n v="135000000"/>
  </r>
  <r>
    <n v="1"/>
    <x v="0"/>
    <s v="โครงการสนับสนุนการจัดการศึกษาด้านวิทยาศาสตร์และเทคโนโลยี"/>
    <x v="3"/>
    <n v="430806200"/>
    <n v="478673500"/>
    <n v="526540900"/>
    <n v="579195000"/>
    <n v="637114500"/>
    <n v="2652330100"/>
  </r>
  <r>
    <n v="1"/>
    <x v="1"/>
    <s v="โครงการจัดหาครุภัณฑ์และสิงก่อสร้าง"/>
    <x v="4"/>
    <n v="285658900"/>
    <n v="332234000"/>
    <n v="372778000"/>
    <n v="137988000"/>
    <n v="451225000"/>
    <n v="1579883900"/>
  </r>
  <r>
    <n v="1"/>
    <x v="1"/>
    <s v="โครงการจัดหาทรัพยากรเพื่อสนับสนุนการเรียนการสอน"/>
    <x v="5"/>
    <n v="338200"/>
    <n v="960000"/>
    <n v="990000"/>
    <n v="1176000"/>
    <n v="1344000"/>
    <n v="4808200"/>
  </r>
  <r>
    <n v="1"/>
    <x v="1"/>
    <s v="โครงการสนับสนุนการจัดการสอนสาขาพยาบาลศาสตร์"/>
    <x v="5"/>
    <n v="10536000"/>
    <n v="11772900"/>
    <n v="13008900"/>
    <n v="14244900"/>
    <n v="15480900"/>
    <n v="65043600"/>
  </r>
  <r>
    <n v="1"/>
    <x v="1"/>
    <s v="โครงการจัดหาครุภัณฑ์เพื่อสนับสนุนการผลิตบัณฑิต"/>
    <x v="5"/>
    <n v="300000"/>
    <n v="1500000"/>
    <n v="2000000"/>
    <n v="2000000"/>
    <n v="2000000"/>
    <n v="7800000"/>
  </r>
  <r>
    <n v="1"/>
    <x v="1"/>
    <s v="โครงการจัดหาพัสดุเพื่อสนับสนุนการผลิตบัณฑิต"/>
    <x v="5"/>
    <n v="69000"/>
    <n v="76000"/>
    <n v="83800"/>
    <n v="92000"/>
    <n v="101000"/>
    <n v="421800"/>
  </r>
  <r>
    <n v="1"/>
    <x v="1"/>
    <s v="โครงการจัดการศึกษาสาขาเภสัชศาสตร์"/>
    <x v="6"/>
    <n v="39290000"/>
    <n v="39270000"/>
    <n v="39170000"/>
    <n v="39040000"/>
    <n v="39170000"/>
    <n v="195940000"/>
  </r>
  <r>
    <n v="1"/>
    <x v="1"/>
    <s v="โครงการผลิตบัณฑิตสาขาพยาบาลศาสตร์"/>
    <x v="5"/>
    <n v="1614000"/>
    <n v="1766000"/>
    <n v="1953600"/>
    <n v="2145900"/>
    <n v="2363000"/>
    <n v="9842500"/>
  </r>
  <r>
    <n v="1"/>
    <x v="1"/>
    <s v="โครงการสนับสนุนการจัดการศึกษาด้านวิทยาศาสตร์สุขภาพ"/>
    <x v="3"/>
    <n v="131977400"/>
    <n v="146641600"/>
    <n v="161305800"/>
    <n v="177436400"/>
    <n v="195180000"/>
    <n v="812541200"/>
  </r>
  <r>
    <n v="1"/>
    <x v="2"/>
    <s v="โครงการพัฒนานักศึกษาทางวิชาการ"/>
    <x v="7"/>
    <n v="114400"/>
    <n v="120100"/>
    <n v="126100"/>
    <n v="132400"/>
    <n v="139000"/>
    <n v="632000"/>
  </r>
  <r>
    <n v="1"/>
    <x v="2"/>
    <s v="โครงการบริการและจัดการหลักสูตรรัฐประศาสนศาสตรบัณฑิต สาขาปกครองท้องถิ่น"/>
    <x v="8"/>
    <n v="1476000"/>
    <n v="1476000"/>
    <n v="1476000"/>
    <n v="1476000"/>
    <n v="1476000"/>
    <n v="7380000"/>
  </r>
  <r>
    <n v="1"/>
    <x v="2"/>
    <s v="โครงการบริหารและจัดการคณะรัฐศาสตร์"/>
    <x v="8"/>
    <n v="9298300"/>
    <n v="9298300"/>
    <n v="9638400"/>
    <n v="10173600"/>
    <n v="10660800"/>
    <n v="49069400"/>
  </r>
  <r>
    <n v="1"/>
    <x v="2"/>
    <s v="โครงการบริหารและจัดการหลักสูตรรัฐประศาสนศาสตรดุษฎีบัณฑิต"/>
    <x v="8"/>
    <n v="1118000"/>
    <n v="1118000"/>
    <n v="1118000"/>
    <n v="1118000"/>
    <n v="1118000"/>
    <n v="5590000"/>
  </r>
  <r>
    <n v="1"/>
    <x v="2"/>
    <s v="โครงการบริหารและจัดการหลักสูตรรัฐประศาสนศาสตรมหาบัณฑิต"/>
    <x v="8"/>
    <n v="950000"/>
    <n v="950000"/>
    <n v="950000"/>
    <n v="950000"/>
    <n v="950000"/>
    <n v="4750000"/>
  </r>
  <r>
    <n v="1"/>
    <x v="2"/>
    <s v="โครงการสนับสนุนการเรียนการสอนหลักสูตรรัฐประศาสนศาสตรบัณฑิต สาขาบริหารองค์การ"/>
    <x v="8"/>
    <n v="116400"/>
    <n v="116400"/>
    <n v="116400"/>
    <n v="116400"/>
    <n v="116400"/>
    <n v="582000"/>
  </r>
  <r>
    <n v="1"/>
    <x v="2"/>
    <s v="โครงการสนับสนุนการเรียนการสอนหลักสูตรรัฐศาสตร์บัณฑิต สาขาการปกครอง"/>
    <x v="8"/>
    <n v="74900"/>
    <n v="74900"/>
    <n v="74900"/>
    <n v="74900"/>
    <n v="74900"/>
    <n v="374500"/>
  </r>
  <r>
    <n v="1"/>
    <x v="2"/>
    <s v="โครงการเงินเดือนข้าราชการและค่าจ้างชั่วคราวผู้มีความรู้ความสามารถ(เงินงบประมาณ)"/>
    <x v="8"/>
    <n v="1090900"/>
    <n v="1090900"/>
    <n v="1090900"/>
    <n v="1090900"/>
    <n v="1090900"/>
    <n v="5454500"/>
  </r>
  <r>
    <n v="1"/>
    <x v="2"/>
    <s v="โครงการจัดหาครุภัณฑ์เพื่อการเรียนการสอนและใช้ในสำนักงาน"/>
    <x v="8"/>
    <n v="450000"/>
    <n v="450000"/>
    <n v="450000"/>
    <n v="450000"/>
    <n v="450000"/>
    <n v="2250000"/>
  </r>
  <r>
    <n v="1"/>
    <x v="2"/>
    <s v=" โครงการผลิตบัณฑิตคณะบริหารศาสตร์"/>
    <x v="9"/>
    <n v="15276000"/>
    <n v="16803500"/>
    <n v="18483900"/>
    <n v="20332300"/>
    <n v="22365500"/>
    <n v="93261200"/>
  </r>
  <r>
    <n v="1"/>
    <x v="2"/>
    <s v="โครงการผลิตบัณฑิตและพัฒนาคุณภาพวิชาการ"/>
    <x v="10"/>
    <n v="696300"/>
    <n v="750000"/>
    <n v="800000"/>
    <n v="850000"/>
    <n v="900000"/>
    <n v="3996300"/>
  </r>
  <r>
    <n v="1"/>
    <x v="2"/>
    <s v="โครงการจัดหาและบำรุงรักษาครุภัณฑ์"/>
    <x v="10"/>
    <n v="305700"/>
    <n v="450000"/>
    <n v="500000"/>
    <n v="550000"/>
    <n v="600000"/>
    <n v="2405700"/>
  </r>
  <r>
    <n v="1"/>
    <x v="2"/>
    <s v="โครงการสนับสนุนการจัดการศึกษาด้านสังคมศาสตร์"/>
    <x v="3"/>
    <n v="127465900"/>
    <n v="141628800"/>
    <n v="155791700"/>
    <n v="171370900"/>
    <n v="188508000"/>
    <n v="784765300"/>
  </r>
  <r>
    <n v="1"/>
    <x v="3"/>
    <s v="โครงการพัฒนากระบวนการจัดการเรียนรู้ที่เน้นผู้เรียนเป็นสำคัญ หลักสูตรวิทยาศาสตรบัณฑิต (สาขาวิชาสาธารณสุขศาสตร์)"/>
    <x v="4"/>
    <n v="4263000"/>
    <n v="4989900"/>
    <n v="5722300"/>
    <n v="6472300"/>
    <n v="7222300"/>
    <n v="28669800"/>
  </r>
  <r>
    <n v="1"/>
    <x v="3"/>
    <s v="โครงการพัฒนากระบวนการจัดการเรียนรู้ที่เน้นผู้เรียนเป็นสำคัญ หลักสูตรแพทยศาสตร์บัณฑิต"/>
    <x v="4"/>
    <n v="50800000"/>
    <n v="54800000"/>
    <n v="69000000"/>
    <n v="86200000"/>
    <n v="92200000"/>
    <n v="353000000"/>
  </r>
  <r>
    <n v="1"/>
    <x v="3"/>
    <s v="โครงการพัฒนาหลักสูตร"/>
    <x v="4"/>
    <n v="500000"/>
    <n v="500000"/>
    <n v="500000"/>
    <n v="500000"/>
    <n v="500000"/>
    <n v="2500000"/>
  </r>
  <r>
    <n v="1"/>
    <x v="3"/>
    <s v="โครงการประชาสัมพันธ์หลักสูตรฯ &#10;&#10;&#10;"/>
    <x v="4"/>
    <n v="200000"/>
    <n v="300000"/>
    <n v="400000"/>
    <n v="500000"/>
    <n v="600000"/>
    <n v="2000000"/>
  </r>
  <r>
    <n v="1"/>
    <x v="3"/>
    <s v="โครงการพัฒนาระบบสนับสนุนการเรียนการสอน ห้องสมุด ,ห้องปฏิบัติการ LAB, ห้องปฏิบัติการคอมพิวเตอร์ "/>
    <x v="4"/>
    <n v="1500000"/>
    <n v="2000000"/>
    <n v="2500000"/>
    <n v="3000000"/>
    <n v="3500000"/>
    <n v="12500000"/>
  </r>
  <r>
    <n v="1"/>
    <x v="3"/>
    <s v="โครงการสนับสนุนการจัดกิจกรรมเสริมหลักสูตรและกิจกรรมนอกหลักสูตร"/>
    <x v="4"/>
    <n v="600000"/>
    <n v="700000"/>
    <n v="800000"/>
    <n v="900000"/>
    <n v="1000000"/>
    <n v="4000000"/>
  </r>
  <r>
    <n v="1"/>
    <x v="3"/>
    <s v="โครงการแลกเปลี่ยน /เผยแพร่/ประกวดผลงานนักศึกษาอย่างสม่ำเสมอและต่อเนื่องทั้งใน&#10;ระดับภูมิภาคระดับชาติ และระดับนานาชาติ"/>
    <x v="4"/>
    <n v="50000"/>
    <n v="70000"/>
    <n v="90000"/>
    <n v="110000"/>
    <n v="130000"/>
    <n v="450000"/>
  </r>
  <r>
    <n v="1"/>
    <x v="3"/>
    <s v="1) โครงการบริหารและพัฒนาหลักสูตร 2) โครงการฝึกงานของนักศึกษา 3) โครงการงานกิจการนักศึกษา"/>
    <x v="7"/>
    <n v="1136700"/>
    <n v="1193500"/>
    <n v="1253200"/>
    <n v="1315900"/>
    <n v="1381700"/>
    <n v="6281000"/>
  </r>
  <r>
    <n v="1"/>
    <x v="3"/>
    <s v="โครงการพัฒนาการเรียนการสอนนักศึกษา&#10;"/>
    <x v="1"/>
    <n v="300000"/>
    <n v="330000"/>
    <n v="363000"/>
    <n v="399300"/>
    <n v="439200"/>
    <n v="1831500"/>
  </r>
  <r>
    <n v="1"/>
    <x v="3"/>
    <s v="โครงการพัฒนาทักษะวิชาการเพิ่มศักยภาพเพื่อสนับสนุนการแข่งขันของนักศึกษา"/>
    <x v="1"/>
    <n v="150000"/>
    <n v="150000"/>
    <n v="150000"/>
    <n v="150000"/>
    <n v="150000"/>
    <n v="750000"/>
  </r>
  <r>
    <n v="1"/>
    <x v="3"/>
    <s v="โครงการพัฒนาศักยภาพและเสริมสร้างกิจกรรมคุณธรรมจริยธรรมของนักศึกษาคณะเกษตรศาสตร์"/>
    <x v="1"/>
    <n v="660000"/>
    <n v="726000"/>
    <n v="798600"/>
    <n v="878500"/>
    <n v="966300"/>
    <n v="4029400"/>
  </r>
  <r>
    <n v="1"/>
    <x v="3"/>
    <s v="โครงการส่งเสริมและสนับสนุนการผลิตตำราและผลงานทางวิชาการ "/>
    <x v="1"/>
    <n v="100000"/>
    <n v="100000"/>
    <n v="100000"/>
    <n v="100000"/>
    <n v="100000"/>
    <n v="500000"/>
  </r>
  <r>
    <n v="1"/>
    <x v="3"/>
    <s v="โครงการอบรมจัดการเรียนการสอนที่เน้นผู้เรียนเป็นสำคัญและการประเมินผล"/>
    <x v="1"/>
    <n v="59000"/>
    <n v="0"/>
    <n v="0"/>
    <n v="0"/>
    <n v="70000"/>
    <n v="129000"/>
  </r>
  <r>
    <n v="1"/>
    <x v="3"/>
    <s v="โครงการอบรมการทำวิจัยในชั้นเรียน"/>
    <x v="1"/>
    <n v="21500"/>
    <n v="0"/>
    <n v="0"/>
    <n v="0"/>
    <n v="30000"/>
    <n v="51500"/>
  </r>
  <r>
    <n v="1"/>
    <x v="3"/>
    <s v="โครงการสนับสนุนทุนศึกษา ปัญหาพิเศษระดับปริญญาตรีและทำวิจัยบัณฑิตศึกษา"/>
    <x v="1"/>
    <n v="1705600"/>
    <n v="1876100"/>
    <n v="2063700"/>
    <n v="2270100"/>
    <n v="2497100"/>
    <n v="10412600"/>
  </r>
  <r>
    <n v="1"/>
    <x v="3"/>
    <s v="โครงการบริหารหลักสูตรรัฐศาสตรมหาบัณฑิต"/>
    <x v="8"/>
    <n v="300000"/>
    <n v="300000"/>
    <n v="300000"/>
    <n v="300000"/>
    <n v="300000"/>
    <n v="1500000"/>
  </r>
  <r>
    <n v="1"/>
    <x v="3"/>
    <s v="โครงการพัฒนางานวิชาการการศึกษา"/>
    <x v="8"/>
    <n v="429700"/>
    <n v="429700"/>
    <n v="429700"/>
    <n v="429700"/>
    <n v="429700"/>
    <n v="2148500"/>
  </r>
  <r>
    <n v="1"/>
    <x v="3"/>
    <s v="โครงการพัฒนาศักยภาพนักศึกษาและบริหารความรู้สโมสรนักศึกษาคณะรัฐศาสตร์"/>
    <x v="8"/>
    <n v="203800"/>
    <n v="203800"/>
    <n v="203800"/>
    <n v="203800"/>
    <n v="203800"/>
    <n v="1019000"/>
  </r>
  <r>
    <n v="1"/>
    <x v="3"/>
    <s v="โครงการพัฒนาทักษะการจัดการเรียนการสอนที่เน้นผู้เรียนเป็นสำคัญ"/>
    <x v="5"/>
    <n v="32200"/>
    <n v="40000"/>
    <n v="40000"/>
    <n v="40000"/>
    <n v="40000"/>
    <n v="192200"/>
  </r>
  <r>
    <n v="1"/>
    <x v="3"/>
    <s v="โครงการประสานแหล่งฝึกภาคปฏิบัติ"/>
    <x v="5"/>
    <n v="2000"/>
    <n v="15000"/>
    <n v="20000"/>
    <n v="20000"/>
    <n v="20000"/>
    <n v="77000"/>
  </r>
  <r>
    <n v="1"/>
    <x v="3"/>
    <s v="โครงการเตรียมความพร้อมนักศึกษาสำหรับการสอบใบประกอบวิชาชีพการพยาบาลและการผดุงครรภ์"/>
    <x v="5"/>
    <n v="0"/>
    <n v="100000"/>
    <n v="100000"/>
    <n v="100000"/>
    <n v="100000"/>
    <n v="400000"/>
  </r>
  <r>
    <n v="1"/>
    <x v="3"/>
    <s v="โครงการพัฒนาระบบการเรียนการสอนที่เน้นผู้เรียนเป็นสำคัญ"/>
    <x v="11"/>
    <n v="3650000"/>
    <n v="4245000"/>
    <n v="4860300"/>
    <n v="5498800"/>
    <n v="6164100"/>
    <n v="24418200"/>
  </r>
  <r>
    <n v="1"/>
    <x v="3"/>
    <s v="โครงการจัดซื้อทรัพยากรสารสนเทศเพื่อสนับสนุนการเรียนการสอน"/>
    <x v="12"/>
    <n v="3995100"/>
    <n v="4194900"/>
    <n v="4404600"/>
    <n v="4624900"/>
    <n v="4856100"/>
    <n v="22075600"/>
  </r>
  <r>
    <n v="1"/>
    <x v="3"/>
    <s v="โครงการจัดหาครุภัณฑ์เพื่อสนับสนุนการศึกษา"/>
    <x v="12"/>
    <n v="500000"/>
    <n v="525000"/>
    <n v="551250"/>
    <n v="578800"/>
    <n v="607800"/>
    <n v="2762850"/>
  </r>
  <r>
    <n v="1"/>
    <x v="3"/>
    <s v="โครงการพัฒนาการวิเคราะห์และจัดหาทรัพยากร"/>
    <x v="12"/>
    <n v="53000"/>
    <n v="55700"/>
    <n v="58500"/>
    <n v="61500"/>
    <n v="64600"/>
    <n v="293300"/>
  </r>
  <r>
    <n v="1"/>
    <x v="3"/>
    <s v="โครงการพัฒนาห้องสมุดและฝ่ายเทคโนโลยีทางการศึกษาเพื่อเป็นแหล่งเรียนรู้ของนักศึกษามหาวิทยาลัย "/>
    <x v="12"/>
    <n v="1332000"/>
    <n v="1398600"/>
    <n v="1468600"/>
    <n v="1543000"/>
    <n v="1621000"/>
    <n v="7363200"/>
  </r>
  <r>
    <n v="1"/>
    <x v="3"/>
    <s v="โครงการสนับสนุนกิจกรรมการเรียนการสอนและกิจกรรมนักศึกษาเภสัชศาสตร์เพื่อให้ครบถ้วนตามคุณลักษณะของบัณฑิตที่พึงประสงค์"/>
    <x v="6"/>
    <n v="5310000"/>
    <n v="5390000"/>
    <n v="5140000"/>
    <n v="5170000"/>
    <n v="5560000"/>
    <n v="26570000"/>
  </r>
  <r>
    <n v="1"/>
    <x v="3"/>
    <s v="โครงการเสริมสร้างศักยภาพบัณฑิต"/>
    <x v="10"/>
    <n v="138500"/>
    <n v="150000"/>
    <n v="170000"/>
    <n v="200000"/>
    <n v="220000"/>
    <n v="878500"/>
  </r>
  <r>
    <n v="1"/>
    <x v="3"/>
    <s v="โครงการวิเทศสัมพันธ์"/>
    <x v="10"/>
    <n v="365000"/>
    <n v="400000"/>
    <n v="450000"/>
    <n v="500000"/>
    <n v="550000"/>
    <n v="2265000"/>
  </r>
  <r>
    <n v="1"/>
    <x v="3"/>
    <s v="โครงการพัฒนาคุณภาพนักศึกษา"/>
    <x v="10"/>
    <n v="61000"/>
    <n v="80000"/>
    <n v="100000"/>
    <n v="150000"/>
    <n v="200000"/>
    <n v="591000"/>
  </r>
  <r>
    <n v="1"/>
    <x v="3"/>
    <s v="โครงการพัฒนาสารสนเทศเพื่อสนับสนุนการเรียนการสอน"/>
    <x v="10"/>
    <n v="294600"/>
    <n v="350000"/>
    <n v="400000"/>
    <n v="450000"/>
    <n v="500000"/>
    <n v="1994600"/>
  </r>
  <r>
    <n v="2"/>
    <x v="4"/>
    <s v="โครงการพัฒนาบุคลากร(อาจารย์)"/>
    <x v="4"/>
    <n v="1545000"/>
    <n v="1700000"/>
    <n v="1900000"/>
    <n v="2100000"/>
    <n v="2300000"/>
    <n v="9545000"/>
  </r>
  <r>
    <n v="2"/>
    <x v="4"/>
    <s v="โครงการสนับสนุนให้อาจารย์มีระดับคุณวุฒิทางการศึกษาและตำแหน่งทางวิชาการในสัดส่วนตามเกณฑ์คุณภาพการศึกษา"/>
    <x v="4"/>
    <n v="200000"/>
    <n v="300000"/>
    <n v="400000"/>
    <n v="500000"/>
    <n v="600000"/>
    <n v="2000000"/>
  </r>
  <r>
    <n v="2"/>
    <x v="4"/>
    <s v="โครงการสันสนันทุนพัฒนาอาจารย์เพื่อศึกษาต่อ"/>
    <x v="4"/>
    <n v="4810900"/>
    <n v="6000000"/>
    <n v="7500000"/>
    <n v="9000000"/>
    <n v="10500000"/>
    <n v="37810900"/>
  </r>
  <r>
    <n v="2"/>
    <x v="4"/>
    <s v="โครงการพัฒนาประสิทธิภาพอาจารย์ ระบบงานวิชาการ"/>
    <x v="7"/>
    <n v="32200"/>
    <n v="33800"/>
    <n v="35500"/>
    <n v="37300"/>
    <n v="39200"/>
    <n v="178000"/>
  </r>
  <r>
    <n v="2"/>
    <x v="4"/>
    <s v="โครงการพัฒนาอาจารย์และบุคลากรคณะรัฐศาสตร์"/>
    <x v="8"/>
    <n v="710000"/>
    <n v="710000"/>
    <n v="710000"/>
    <n v="710000"/>
    <n v="710000"/>
    <n v="3550000"/>
  </r>
  <r>
    <n v="2"/>
    <x v="4"/>
    <s v="โครงการส่งเสริมจรรยาบรรณวิชาชีพคณาจารย์"/>
    <x v="5"/>
    <n v="0"/>
    <n v="30000"/>
    <n v="30000"/>
    <n v="35000"/>
    <n v="35000"/>
    <n v="130000"/>
  </r>
  <r>
    <n v="2"/>
    <x v="4"/>
    <s v=" โครงการพัฒนาระบบบริหารทรัพยากรมนุษย์"/>
    <x v="9"/>
    <n v="22070000"/>
    <n v="24277000"/>
    <n v="26704700"/>
    <n v="29375200"/>
    <n v="32312700"/>
    <n v="134739600"/>
  </r>
  <r>
    <n v="2"/>
    <x v="4"/>
    <s v="โครงการส่งเสริมและพัฒนาศักยภาพอาจารย์"/>
    <x v="11"/>
    <n v="170000"/>
    <n v="240000"/>
    <n v="310000"/>
    <n v="380000"/>
    <n v="450000"/>
    <n v="1550000"/>
  </r>
  <r>
    <n v="2"/>
    <x v="4"/>
    <s v="โครงการส่งเสริมและพัฒนาศักยภาพอาจารย์"/>
    <x v="6"/>
    <n v="1890000"/>
    <n v="1700000"/>
    <n v="1890000"/>
    <n v="1700000"/>
    <n v="1890000"/>
    <n v="9070000"/>
  </r>
  <r>
    <n v="2"/>
    <x v="4"/>
    <s v="โครงการพัฒนาศักยภาพบุคลากรคณะวิศวกรรมศาสตร์"/>
    <x v="2"/>
    <n v="15000000"/>
    <n v="15000000"/>
    <n v="16000000"/>
    <n v="16000000"/>
    <n v="17000000"/>
    <n v="79000000"/>
  </r>
  <r>
    <n v="2"/>
    <x v="4"/>
    <s v="โครงการพัฒนาศักยภาพบุคลากร(อาจารย์)"/>
    <x v="10"/>
    <n v="155000"/>
    <n v="250000"/>
    <n v="300000"/>
    <n v="350000"/>
    <n v="400000"/>
    <n v="1455000"/>
  </r>
  <r>
    <n v="3"/>
    <x v="5"/>
    <s v="โครงการพัฒนาระบบกลไกการบริหารงานวิจัยของวิทยาลัยฯ"/>
    <x v="4"/>
    <n v="200000"/>
    <n v="250000"/>
    <n v="300000"/>
    <n v="350000"/>
    <n v="400000"/>
    <n v="1500000"/>
  </r>
  <r>
    <n v="3"/>
    <x v="5"/>
    <s v="โครงการงานบริหารงานวิจัย"/>
    <x v="7"/>
    <n v="81600"/>
    <n v="85700"/>
    <n v="90000"/>
    <n v="94500"/>
    <n v="99200"/>
    <n v="451000"/>
  </r>
  <r>
    <n v="3"/>
    <x v="5"/>
    <s v="โครงการติดตามและประเมินผลโครงการวิจัย"/>
    <x v="1"/>
    <n v="50000"/>
    <n v="50000"/>
    <n v="50000"/>
    <n v="50000"/>
    <n v="50000"/>
    <n v="250000"/>
  </r>
  <r>
    <n v="3"/>
    <x v="5"/>
    <s v="โครงการประชุมระดมความคิดเพื่อทำกรอบวิจัยเชิงบูรณาการ"/>
    <x v="1"/>
    <n v="100000"/>
    <n v="100000"/>
    <n v="100000"/>
    <n v="100000"/>
    <n v="100000"/>
    <n v="500000"/>
  </r>
  <r>
    <n v="3"/>
    <x v="5"/>
    <s v="โครงการสนับสนุนทุนวิจัยหน้าใหม่"/>
    <x v="1"/>
    <n v="440000"/>
    <n v="500000"/>
    <n v="500000"/>
    <n v="500000"/>
    <n v="500000"/>
    <n v="2440000"/>
  </r>
  <r>
    <n v="3"/>
    <x v="5"/>
    <s v="โครงการสมทบทุนนักวิจัยแหล่งทุนภายในและภายนอก"/>
    <x v="1"/>
    <n v="80000"/>
    <n v="200000"/>
    <n v="200000"/>
    <n v="200000"/>
    <n v="200000"/>
    <n v="880000"/>
  </r>
  <r>
    <n v="3"/>
    <x v="5"/>
    <s v="โครงการพัฒนาระบบการบริหารงานวิจัยคณะเกษตรศาสตร์"/>
    <x v="1"/>
    <n v="50000"/>
    <n v="50000"/>
    <n v="50000"/>
    <n v="50000"/>
    <n v="50000"/>
    <n v="250000"/>
  </r>
  <r>
    <n v="3"/>
    <x v="5"/>
    <s v="โครงการเผยแพร่ผลงานทางวิชาการ "/>
    <x v="1"/>
    <n v="647500"/>
    <n v="712300"/>
    <n v="783500"/>
    <n v="861800"/>
    <n v="948000"/>
    <n v="3953100"/>
  </r>
  <r>
    <n v="3"/>
    <x v="5"/>
    <s v="โครงการส่งเสริมการวิจัยและนำเสนอผลงานทางวิชาการ"/>
    <x v="8"/>
    <n v="60000"/>
    <n v="60000"/>
    <n v="60000"/>
    <n v="60000"/>
    <n v="60000"/>
    <n v="300000"/>
  </r>
  <r>
    <n v="3"/>
    <x v="5"/>
    <s v="โครงการส่งเสริมและบริหารงานวิจัย"/>
    <x v="9"/>
    <n v="1463500"/>
    <n v="1609900"/>
    <n v="1770800"/>
    <n v="1947900"/>
    <n v="2142700"/>
    <n v="8934800"/>
  </r>
  <r>
    <n v="3"/>
    <x v="5"/>
    <s v="โครงการพัฒนาระบบกลไกการบริหารงานวิจัยของคณะศิลปศาสตร์"/>
    <x v="11"/>
    <n v="700000"/>
    <n v="700000"/>
    <n v="700000"/>
    <n v="700000"/>
    <n v="700000"/>
    <n v="3500000"/>
  </r>
  <r>
    <n v="3"/>
    <x v="5"/>
    <s v="โครงการพัฒนาระบบกลไกการบริหารงานวิจัยของคณะเภสัชศาสตร์"/>
    <x v="6"/>
    <n v="2381000"/>
    <n v="2371000"/>
    <n v="2381000"/>
    <n v="2371000"/>
    <n v="2381000"/>
    <n v="11885000"/>
  </r>
  <r>
    <n v="3"/>
    <x v="5"/>
    <s v="โครงการพัฒนาคุณภาพงานวิจัย"/>
    <x v="10"/>
    <n v="138000"/>
    <n v="150000"/>
    <n v="200000"/>
    <n v="220000"/>
    <n v="250000"/>
    <n v="958000"/>
  </r>
  <r>
    <n v="3"/>
    <x v="6"/>
    <s v="โครงการวิจัยเพื่อสร้างองค์ความรู้สาขาวิทยาศาสตร์"/>
    <x v="0"/>
    <n v="906000"/>
    <n v="1000000"/>
    <n v="1100000"/>
    <n v="1200000"/>
    <n v="1300000"/>
    <n v="5506000"/>
  </r>
  <r>
    <n v="3"/>
    <x v="6"/>
    <s v="โครงการวิจัยสร้างองค์ความรู้"/>
    <x v="1"/>
    <n v="2455800"/>
    <n v="10881200"/>
    <n v="11969400"/>
    <n v="13166300"/>
    <n v="14482900"/>
    <n v="52955600"/>
  </r>
  <r>
    <n v="3"/>
    <x v="6"/>
    <s v="โครงการส่งเสริมการวิจัยและนำเสนอผลงานทางวิชาการ"/>
    <x v="8"/>
    <n v="60000"/>
    <n v="60000"/>
    <n v="60000"/>
    <n v="60000"/>
    <n v="60000"/>
    <n v="300000"/>
  </r>
  <r>
    <n v="3"/>
    <x v="6"/>
    <s v="โครงการวิจัยเพื่อความก้าวหน้าทางวิชาการ"/>
    <x v="5"/>
    <n v="30000"/>
    <n v="150000"/>
    <n v="200000"/>
    <n v="250000"/>
    <n v="300000"/>
    <n v="930000"/>
  </r>
  <r>
    <n v="3"/>
    <x v="6"/>
    <s v="โครงการวิจัยเพื่อแก้ปัญหาและยกระดับคุณภาพชีวิตของชุมชนในท้องถิ่นให้เข้มแข็งและโดดเด่นเป็นชื่อเสียงของคณะศิลปศาสตร์"/>
    <x v="11"/>
    <n v="300000"/>
    <n v="300000"/>
    <n v="300000"/>
    <n v="300000"/>
    <n v="300000"/>
    <n v="1500000"/>
  </r>
  <r>
    <n v="3"/>
    <x v="6"/>
    <s v="โครงการวิจัยเพื่อสร้างองค์ความรู้"/>
    <x v="6"/>
    <n v="2000000"/>
    <n v="2000000"/>
    <n v="2000000"/>
    <n v="2000000"/>
    <n v="2000000"/>
    <n v="10000000"/>
  </r>
  <r>
    <n v="3"/>
    <x v="6"/>
    <s v="โครงการวิจัยเพื่อสร้างองค์ความรู้"/>
    <x v="2"/>
    <n v="1500000"/>
    <n v="1550000"/>
    <n v="1600000"/>
    <n v="1650000"/>
    <n v="1700000"/>
    <n v="8000000"/>
  </r>
  <r>
    <n v="3"/>
    <x v="7"/>
    <s v="โครงการวิจัยเพื่อถ่ายทอดเทคโนโลยีสาขาวิทยาศาสตร์"/>
    <x v="0"/>
    <n v="282200"/>
    <n v="300000"/>
    <n v="400000"/>
    <n v="500000"/>
    <n v="600000"/>
    <n v="2082200"/>
  </r>
  <r>
    <n v="3"/>
    <x v="7"/>
    <s v="โครงการวิจัยเพื่อถ่ายทอดเทคโนโลยี"/>
    <x v="1"/>
    <n v="945800"/>
    <n v="1000000"/>
    <n v="1000000"/>
    <n v="1000000"/>
    <n v="1000000"/>
    <n v="4945800"/>
  </r>
  <r>
    <n v="3"/>
    <x v="7"/>
    <s v="โครงการวิจัยเพื่อถ่ายทอดเทคโนโลยี"/>
    <x v="6"/>
    <n v="3000000"/>
    <n v="3000000"/>
    <n v="3000000"/>
    <n v="3000000"/>
    <n v="3000000"/>
    <n v="15000000"/>
  </r>
  <r>
    <n v="3"/>
    <x v="7"/>
    <s v="โครงการวิจัยเพื่อถ่ายทอดเทคโนโลยี"/>
    <x v="2"/>
    <n v="1500000"/>
    <n v="1550000"/>
    <n v="1600000"/>
    <n v="1650000"/>
    <n v="1700000"/>
    <n v="8000000"/>
  </r>
  <r>
    <n v="3"/>
    <x v="7"/>
    <s v="โครงการสนับสนุนการวิจัยเพื่อถ่ายทอดเทคโนโลยี"/>
    <x v="3"/>
    <n v="9500"/>
    <n v="9500"/>
    <n v="9500"/>
    <n v="9500"/>
    <n v="9500"/>
    <n v="47500"/>
  </r>
  <r>
    <n v="4"/>
    <x v="8"/>
    <s v="โครงการบริการวิชาการสาขาวิทยาศาสตร์"/>
    <x v="0"/>
    <n v="993200"/>
    <n v="1100000"/>
    <n v="1200000"/>
    <n v="1300000"/>
    <n v="1400000"/>
    <n v="5993200"/>
  </r>
  <r>
    <n v="4"/>
    <x v="8"/>
    <s v="โครงการพัฒนาระบบและกลไกการบริหารงานบริการวิชาการของวิทยาลัยฯ"/>
    <x v="4"/>
    <n v="100000"/>
    <n v="150000"/>
    <n v="200000"/>
    <n v="250000"/>
    <n v="300000"/>
    <n v="1000000"/>
  </r>
  <r>
    <n v="4"/>
    <x v="8"/>
    <s v="โครงการบริการวิชาการ"/>
    <x v="7"/>
    <n v="95000"/>
    <n v="99800"/>
    <n v="104800"/>
    <n v="110000"/>
    <n v="115500"/>
    <n v="525100"/>
  </r>
  <r>
    <n v="4"/>
    <x v="8"/>
    <s v="โครงการบริการวิชาการด้านเกษตรศาสตร์&#10;&#10;"/>
    <x v="1"/>
    <n v="2572500"/>
    <n v="2829800"/>
    <n v="3112700"/>
    <n v="3424000"/>
    <n v="3766400"/>
    <n v="15705400"/>
  </r>
  <r>
    <n v="4"/>
    <x v="8"/>
    <s v="โครงการติดตามและประเมินผลบริการวิชาการ"/>
    <x v="1"/>
    <n v="100000"/>
    <n v="100000"/>
    <n v="100000"/>
    <n v="100000"/>
    <n v="100000"/>
    <n v="500000"/>
  </r>
  <r>
    <n v="4"/>
    <x v="8"/>
    <s v="โครงการให้บริการแก่ชุมชนท้องถิ่นทางด้านการเมืองการปกครอง"/>
    <x v="8"/>
    <n v="10000"/>
    <n v="10000"/>
    <n v="10000"/>
    <n v="10000"/>
    <n v="10000"/>
    <n v="50000"/>
  </r>
  <r>
    <n v="4"/>
    <x v="8"/>
    <s v="โครงการศึกษาสุขภาวะชุมชนและให้บริการวิชาการโดยใช้ชุมชนเป็นฐาน"/>
    <x v="5"/>
    <n v="167600"/>
    <n v="360000"/>
    <n v="390000"/>
    <n v="420000"/>
    <n v="460000"/>
    <n v="1797600"/>
  </r>
  <r>
    <n v="4"/>
    <x v="8"/>
    <s v="โครงการสร้างศักยภาพด้านสุขภาพองค์รวมในโรงเรียนตำรวจตระเวนชายแดน"/>
    <x v="5"/>
    <n v="85000"/>
    <n v="100000"/>
    <n v="100000"/>
    <n v="150000"/>
    <n v="150000"/>
    <n v="585000"/>
  </r>
  <r>
    <n v="4"/>
    <x v="8"/>
    <s v="โครงการส่งเสริมและบริหารงานบริการวิชาการ"/>
    <x v="9"/>
    <n v="2830400"/>
    <n v="3113400"/>
    <n v="3424700"/>
    <n v="3767200"/>
    <n v="4143900"/>
    <n v="17279600"/>
  </r>
  <r>
    <n v="4"/>
    <x v="8"/>
    <s v="โครงการบริการวิชาการสาขาวิศวกรรมศาสตร์"/>
    <x v="2"/>
    <n v="2000000"/>
    <n v="2100000"/>
    <n v="2200000"/>
    <n v="2300000"/>
    <n v="2400000"/>
    <n v="11000000"/>
  </r>
  <r>
    <n v="4"/>
    <x v="8"/>
    <s v="โครงการพัฒนาการให้บริการวิชาการสำนักวิทยบริการ "/>
    <x v="12"/>
    <n v="42000"/>
    <n v="44100"/>
    <n v="46400"/>
    <n v="48800"/>
    <n v="51200"/>
    <n v="232500"/>
  </r>
  <r>
    <n v="4"/>
    <x v="8"/>
    <s v="โครงการบริการวิชาการสำนักวิทยบริการ "/>
    <x v="12"/>
    <n v="917300"/>
    <n v="963200"/>
    <n v="1011400"/>
    <n v="1062000"/>
    <n v="1115100"/>
    <n v="5069000"/>
  </r>
  <r>
    <n v="4"/>
    <x v="8"/>
    <s v=" โครงการพัฒนาระบบการดำเนินงานด้านบริการวิชาการของมหาวิทยาลัย"/>
    <x v="3"/>
    <n v="2555900"/>
    <n v="2839900"/>
    <n v="3123900"/>
    <n v="3436300"/>
    <n v="3779900"/>
    <n v="15735900"/>
  </r>
  <r>
    <n v="4"/>
    <x v="8"/>
    <s v="โครงการบริการวิชาการ"/>
    <x v="10"/>
    <n v="286300"/>
    <n v="300000"/>
    <n v="350000"/>
    <n v="450000"/>
    <n v="500000"/>
    <n v="1886300"/>
  </r>
  <r>
    <n v="4"/>
    <x v="9"/>
    <s v="โครงการสร้างเครือข่ายความร่วมมือระหว่างสถาบัน การศึกษา หน่วยราชการ และองค์กรเอกชน ทั้งในและต่างประเทศ โดยเน้นความร่วมมือแบบบูรณาการเป็นหลัก"/>
    <x v="4"/>
    <n v="160000"/>
    <n v="250000"/>
    <n v="300000"/>
    <n v="400000"/>
    <n v="500000"/>
    <n v="1610000"/>
  </r>
  <r>
    <n v="4"/>
    <x v="9"/>
    <s v="โครงการความร่วมมือระหว่างหน่วยงานทั้งภายในและต่างประเทศ "/>
    <x v="1"/>
    <n v="200000"/>
    <n v="220000"/>
    <n v="400000"/>
    <n v="400000"/>
    <n v="400000"/>
    <n v="1620000"/>
  </r>
  <r>
    <n v="4"/>
    <x v="9"/>
    <s v="กิจกรรมการสร้างเครือข่ายด้านการประกันคุณภาพภายในมหาวิทยาลัย,กิจกรรมการสร้างเครือข่ายด้านการประกันคุณภาพระหว่างมหาวิทยาลัย"/>
    <x v="8"/>
    <n v="1343900"/>
    <n v="1343900"/>
    <n v="1343900"/>
    <n v="1343900"/>
    <n v="1343900"/>
    <n v="6719500"/>
  </r>
  <r>
    <n v="4"/>
    <x v="9"/>
    <s v="โครงการสร้างเครือข่ายประกันคุณภาพการศึกษา"/>
    <x v="5"/>
    <n v="3000"/>
    <n v="5000"/>
    <n v="5000"/>
    <n v="10000"/>
    <n v="10000"/>
    <n v="33000"/>
  </r>
  <r>
    <n v="4"/>
    <x v="9"/>
    <s v="โครงการเครือข่ายความร่วมมือกับชุมชน หน่วยงานของรัฐ และ ภาคธุรกิจอุตสาหกรรม"/>
    <x v="6"/>
    <n v="410000"/>
    <n v="410000"/>
    <n v="410000"/>
    <n v="410000"/>
    <n v="410000"/>
    <n v="2050000"/>
  </r>
  <r>
    <n v="4"/>
    <x v="9"/>
    <s v="โครงการจัดหาของขวัญปีใหม่ให้กับหน่วยงานต่างๆ"/>
    <x v="5"/>
    <n v="9000"/>
    <n v="10000"/>
    <n v="10000"/>
    <n v="10000"/>
    <n v="10000"/>
    <n v="49000"/>
  </r>
  <r>
    <n v="4"/>
    <x v="10"/>
    <s v="โครงการประชุมสัมมนาวิชาการด้านเกษตรศาสตร์"/>
    <x v="1"/>
    <n v="0"/>
    <n v="1000000"/>
    <n v="1000000"/>
    <n v="1000000"/>
    <n v="1000000"/>
    <n v="4000000"/>
  </r>
  <r>
    <n v="4"/>
    <x v="10"/>
    <s v="โครงการประชุมสัมมนาและอบรมวิชาชีพต่างๆ เพื่อเสริมสร้างความมั่นคงในการประกอบอาชีพทางเภสัชศาสตร์"/>
    <x v="6"/>
    <n v="200000"/>
    <n v="200000"/>
    <n v="200000"/>
    <n v="200000"/>
    <n v="200000"/>
    <n v="1000000"/>
  </r>
  <r>
    <n v="4"/>
    <x v="10"/>
    <s v="โครงการบริการวิชาการเฉพาะเรื่อง"/>
    <x v="11"/>
    <n v="1500000"/>
    <n v="1600000"/>
    <n v="1700000"/>
    <n v="1800000"/>
    <n v="1900000"/>
    <n v="8500000"/>
  </r>
  <r>
    <n v="4"/>
    <x v="11"/>
    <s v="โครงการสร้างเสริมสุขภาพโดยใช้ชุมชนเป็นฐานการเรียนรู้"/>
    <x v="4"/>
    <n v="100000"/>
    <n v="150000"/>
    <n v="200000"/>
    <n v="250000"/>
    <n v="300000"/>
    <n v="1000000"/>
  </r>
  <r>
    <n v="4"/>
    <x v="11"/>
    <s v="โครงการสนับสนุนการสร้างเสริมสุขภาวะและบริการสุขภาพ"/>
    <x v="4"/>
    <n v="31966200"/>
    <n v="32157400"/>
    <n v="39459300"/>
    <n v="39459300"/>
    <n v="53459300"/>
    <n v="196501500"/>
  </r>
  <r>
    <n v="4"/>
    <x v="11"/>
    <s v="โครงการที่มีข้อตกลงความร่วมมือและเป็นที่ปรึกษาให้กับชุมชน และองค์กรต่างๆ"/>
    <x v="4"/>
    <n v="100000"/>
    <n v="150000"/>
    <n v="200000"/>
    <n v="250000"/>
    <n v="300000"/>
    <n v="1000000"/>
  </r>
  <r>
    <n v="4"/>
    <x v="11"/>
    <s v="โครงการสร้างเสริมสุขภาวะและบริการสุขภาพแก่ชุมชน"/>
    <x v="6"/>
    <n v="1396000"/>
    <n v="1196000"/>
    <n v="1296000"/>
    <n v="1196000"/>
    <n v="1296000"/>
    <n v="6380000"/>
  </r>
  <r>
    <n v="4"/>
    <x v="11"/>
    <s v="โครงการอบรมทางการแพทย์และสุขภาพ"/>
    <x v="4"/>
    <n v="200000"/>
    <n v="300000"/>
    <n v="400000"/>
    <n v="500000"/>
    <n v="600000"/>
    <n v="2000000"/>
  </r>
  <r>
    <n v="4"/>
    <x v="12"/>
    <s v="โครงการเรียนฟรี 15 ปี"/>
    <x v="4"/>
    <n v="117400"/>
    <n v="123900"/>
    <n v="130400"/>
    <n v="141800"/>
    <n v="154900"/>
    <n v="668400"/>
  </r>
  <r>
    <n v="4"/>
    <x v="12"/>
    <s v="โครงการพัฒนาศักยภาพกระบวนการเรียนรู้ของเด็ก"/>
    <x v="4"/>
    <n v="500000"/>
    <n v="600000"/>
    <n v="700000"/>
    <n v="800000"/>
    <n v="900000"/>
    <n v="3500000"/>
  </r>
  <r>
    <n v="5"/>
    <x v="13"/>
    <s v="โครงการทำนุบำรุงศิลปวัฒนธรรมสาขาวิทยาศาสตร์"/>
    <x v="0"/>
    <n v="419000"/>
    <n v="500000"/>
    <n v="600000"/>
    <n v="700000"/>
    <n v="800000"/>
    <n v="3019000"/>
  </r>
  <r>
    <n v="5"/>
    <x v="13"/>
    <s v="โครงการส่งเสริมและสนับสนุนให้นักศึกษาและบุคลากรด้านศิลปและวัฒนธรรม"/>
    <x v="4"/>
    <n v="100000"/>
    <n v="150000"/>
    <n v="200000"/>
    <n v="250000"/>
    <n v="300000"/>
    <n v="1000000"/>
  </r>
  <r>
    <n v="5"/>
    <x v="13"/>
    <s v="โครงการพัฒนาระบบและกลไกการบริหารงานทำนุบำรุงศิลปวัฒนธรรมของ&#10;วิทยาลัยฯ"/>
    <x v="4"/>
    <n v="100000"/>
    <n v="150000"/>
    <n v="200000"/>
    <n v="250000"/>
    <n v="300000"/>
    <n v="1000000"/>
  </r>
  <r>
    <n v="5"/>
    <x v="13"/>
    <s v="โครงการทำนุบำรุงศิลปวัฒนธรรม "/>
    <x v="7"/>
    <n v="125000"/>
    <n v="131300"/>
    <n v="137900"/>
    <n v="144800"/>
    <n v="152000"/>
    <n v="691000"/>
  </r>
  <r>
    <n v="5"/>
    <x v="13"/>
    <s v="โครงการอนุรักษ์ศิลปวัฒณธรรมท้องถิ่นจังหวัดอุบลราชธานี"/>
    <x v="8"/>
    <n v="50000"/>
    <n v="50000"/>
    <n v="50000"/>
    <n v="50000"/>
    <n v="50000"/>
    <n v="250000"/>
  </r>
  <r>
    <n v="5"/>
    <x v="13"/>
    <s v="โครงการร้อยดวงใจผู้สูงวัยในวันสงกรานต์"/>
    <x v="5"/>
    <n v="23400"/>
    <n v="35000"/>
    <n v="40000"/>
    <n v="40000"/>
    <n v="40000"/>
    <n v="178400"/>
  </r>
  <r>
    <n v="5"/>
    <x v="13"/>
    <s v="โครงการวันคล้ายวันสถาปนาคณะ"/>
    <x v="5"/>
    <n v="11200"/>
    <n v="20000"/>
    <n v="20000"/>
    <n v="20000"/>
    <n v="20000"/>
    <n v="91200"/>
  </r>
  <r>
    <n v="5"/>
    <x v="13"/>
    <s v="โครงการพัฒนาระบบและกลไกในการทํานุบํารุงศิลปวัฒนธรรม"/>
    <x v="9"/>
    <n v="641700"/>
    <n v="705900"/>
    <n v="776500"/>
    <n v="854100"/>
    <n v="939500"/>
    <n v="3917700"/>
  </r>
  <r>
    <n v="5"/>
    <x v="13"/>
    <s v="โครงการพัฒนาระบบและกลไกในการทํานุบํารุงศิลปวัฒนธรรม"/>
    <x v="11"/>
    <n v="50000"/>
    <n v="50000"/>
    <n v="50000"/>
    <n v="50000"/>
    <n v="50000"/>
    <n v="250000"/>
  </r>
  <r>
    <n v="5"/>
    <x v="13"/>
    <s v=" โครงการทำนุบำรุงศิลปวัฒนธรรม สาขาวิศวกรรมศาสตร์"/>
    <x v="2"/>
    <n v="250000"/>
    <n v="300000"/>
    <n v="300000"/>
    <n v="350000"/>
    <n v="350000"/>
    <n v="1550000"/>
  </r>
  <r>
    <n v="5"/>
    <x v="13"/>
    <s v="โครงการทำนุบำรุงศิลปวัฒนธรรม"/>
    <x v="13"/>
    <n v="30000"/>
    <n v="30000"/>
    <n v="30000"/>
    <n v="30000"/>
    <n v="30000"/>
    <n v="150000"/>
  </r>
  <r>
    <n v="5"/>
    <x v="13"/>
    <s v="โครงการพัฒนาด้านทำนุบำรุงศิลปวัฒนธรรม "/>
    <x v="12"/>
    <n v="30000"/>
    <n v="31500"/>
    <n v="33100"/>
    <n v="34800"/>
    <n v="36600"/>
    <n v="166000"/>
  </r>
  <r>
    <n v="5"/>
    <x v="13"/>
    <s v="โครงการทำนุบำรุงศิลปวัฒนธรรม "/>
    <x v="12"/>
    <n v="735000"/>
    <n v="771800"/>
    <n v="810400"/>
    <n v="851000"/>
    <n v="893600"/>
    <n v="4061800"/>
  </r>
  <r>
    <n v="5"/>
    <x v="13"/>
    <s v="โครงการพัฒนาระบบและกลไกการบริหารงานทำนุบำรุงศิลปวัฒนธรรม "/>
    <x v="6"/>
    <n v="2170000"/>
    <n v="2170000"/>
    <n v="2170000"/>
    <n v="2170000"/>
    <n v="2170000"/>
    <n v="10850000"/>
  </r>
  <r>
    <n v="5"/>
    <x v="13"/>
    <s v="โครงการพัฒนาระบบและกลไกการบริหารงานทำนุบำรุงศิลปวัฒนธรรม "/>
    <x v="3"/>
    <n v="2790000"/>
    <n v="3100000"/>
    <n v="3410000"/>
    <n v="3751000"/>
    <n v="4126100"/>
    <n v="17177100"/>
  </r>
  <r>
    <n v="5"/>
    <x v="13"/>
    <s v="โครงการทำนุบำรุงศิลปวัฒนธรรม"/>
    <x v="10"/>
    <n v="92000"/>
    <n v="100000"/>
    <n v="150000"/>
    <n v="200000"/>
    <n v="220000"/>
    <n v="762000"/>
  </r>
  <r>
    <n v="5"/>
    <x v="14"/>
    <s v="โครงการ ศึกษา ค้นคว้า รวบรวม ฟื้นฟูและอนุรักษ์ศิลปวัฒนธรรม"/>
    <x v="1"/>
    <n v="848200"/>
    <n v="933000"/>
    <n v="1026300"/>
    <n v="1129000"/>
    <n v="1241900"/>
    <n v="5178400"/>
  </r>
  <r>
    <n v="5"/>
    <x v="14"/>
    <s v="โครงการอนุรักษ์ศิลปวัฒณธรรมท้องถิ่นจังหวัดอุบลราชธานี"/>
    <x v="8"/>
    <n v="50000"/>
    <n v="50000"/>
    <n v="50000"/>
    <n v="50000"/>
    <n v="50000"/>
    <n v="250000"/>
  </r>
  <r>
    <n v="5"/>
    <x v="14"/>
    <s v="โครงการการศึกษา อนุรักษ์ และเผยแพร่องค์ความรู้เพื่อการประยุกต์ใช้ภูมิบัญญาท้องถิ่นทางด้านสมุนไพรและเภสัชกรรม"/>
    <x v="6"/>
    <n v="670000"/>
    <n v="670000"/>
    <n v="670000"/>
    <n v="670000"/>
    <n v="670000"/>
    <n v="3350000"/>
  </r>
  <r>
    <n v="5"/>
    <x v="14"/>
    <s v="โครงการทำนุบำรุงศิลปวัฒนธรรมเฉพาะเรื่อง"/>
    <x v="11"/>
    <n v="1000000"/>
    <n v="1000000"/>
    <n v="1000000"/>
    <n v="1000000"/>
    <n v="1000000"/>
    <n v="5000000"/>
  </r>
  <r>
    <n v="6"/>
    <x v="15"/>
    <s v="โครงการบริหารและจัดการศึกษาสาขาวิทยาศาสตร์"/>
    <x v="0"/>
    <n v="17352000"/>
    <n v="17500000"/>
    <n v="17500000"/>
    <n v="17500000"/>
    <n v="17500000"/>
    <n v="87352000"/>
  </r>
  <r>
    <n v="6"/>
    <x v="15"/>
    <s v="๒. โครงการกองทุนส่งเสริมและพัฒนาการผลิตบัณฑิตสาขาวิทยาศาสตร์"/>
    <x v="0"/>
    <n v="25812800"/>
    <n v="26000000"/>
    <n v="26000000"/>
    <n v="26000000"/>
    <n v="26000000"/>
    <n v="129812800"/>
  </r>
  <r>
    <n v="6"/>
    <x v="15"/>
    <s v="โครงการจัดทำแผนปฏิบัติการประจำปี และติดตามประเมินผล"/>
    <x v="4"/>
    <n v="200000"/>
    <n v="300000"/>
    <n v="400000"/>
    <n v="500000"/>
    <n v="600000"/>
    <n v="2000000"/>
  </r>
  <r>
    <n v="6"/>
    <x v="15"/>
    <s v="โครงการพัฒนาระบบการบริหารจัดการ"/>
    <x v="4"/>
    <n v="21600000"/>
    <n v="32400000"/>
    <n v="43200000"/>
    <n v="54000000"/>
    <n v="64800000"/>
    <n v="216000000"/>
  </r>
  <r>
    <n v="6"/>
    <x v="15"/>
    <s v="โครงการพัฒนาการประกันคุณภาพการศึกษาสู่ความเป็นเลิศ"/>
    <x v="4"/>
    <n v="200000"/>
    <n v="300000"/>
    <n v="400000"/>
    <n v="500000"/>
    <n v="600000"/>
    <n v="2000000"/>
  </r>
  <r>
    <n v="6"/>
    <x v="15"/>
    <s v="โครการบริหารจัดการสำนักงาน 2) โครงการพัฒนางานนโยบายและแผน 3) โครงการประกันคุณภาพการศึกษาและการบริหารความเสี่ยง"/>
    <x v="7"/>
    <n v="13514200"/>
    <n v="14189900"/>
    <n v="14899400"/>
    <n v="15644400"/>
    <n v="16426600"/>
    <n v="74674500"/>
  </r>
  <r>
    <n v="6"/>
    <x v="15"/>
    <s v="โครงการสัมมนาเพื่อพัฒนาประสิทธิภาพการทำงานสำนักงานคณบดี"/>
    <x v="1"/>
    <n v="100000"/>
    <n v="100000"/>
    <n v="100000"/>
    <n v="100000"/>
    <n v="100000"/>
    <n v="500000"/>
  </r>
  <r>
    <n v="6"/>
    <x v="15"/>
    <s v="โครงการบริหารจัดการทั่วไป"/>
    <x v="8"/>
    <n v="3932800"/>
    <n v="3932800"/>
    <n v="3932800"/>
    <n v="3932800"/>
    <n v="3932800"/>
    <n v="19664000"/>
  </r>
  <r>
    <n v="6"/>
    <x v="15"/>
    <s v="โครงการประชุมเพื่อสรุปแผนปฏิบัติการประจำปี"/>
    <x v="5"/>
    <n v="5000"/>
    <n v="10000"/>
    <n v="20000"/>
    <n v="20000"/>
    <n v="25000"/>
    <n v="80000"/>
  </r>
  <r>
    <n v="6"/>
    <x v="15"/>
    <s v="โครงการสัมมนาเชิงปฏิบัติการเพื่อจัดทำแผนปฏิบัติการประจำปี"/>
    <x v="5"/>
    <n v="5000"/>
    <n v="8000"/>
    <n v="0"/>
    <n v="10000"/>
    <n v="15000"/>
    <n v="38000"/>
  </r>
  <r>
    <n v="6"/>
    <x v="15"/>
    <s v="โครงการจัดทำรายงานประจำปี"/>
    <x v="5"/>
    <n v="10000"/>
    <n v="15000"/>
    <n v="15000"/>
    <n v="15000"/>
    <n v="15000"/>
    <n v="70000"/>
  </r>
  <r>
    <n v="6"/>
    <x v="15"/>
    <s v="โครงการตรวจประเมินคุณภาพการศึกษาภายในคณะพยาบาลศาสตร์"/>
    <x v="5"/>
    <n v="28600"/>
    <n v="50000"/>
    <n v="55000"/>
    <n v="60500"/>
    <n v="66500"/>
    <n v="260600"/>
  </r>
  <r>
    <n v="6"/>
    <x v="15"/>
    <s v="โครงการสร้างความรู้ความเข้าใจในงานประกันคุณภาพการศึกษาให้กับบุคลากรและนักศึกษา"/>
    <x v="5"/>
    <n v="10000"/>
    <n v="15000"/>
    <n v="15000"/>
    <n v="20000"/>
    <n v="20000"/>
    <n v="80000"/>
  </r>
  <r>
    <n v="6"/>
    <x v="15"/>
    <s v="โครงการบริหารและจัดการการศึกษาคณะบริหารศาสตร์"/>
    <x v="9"/>
    <n v="15707400"/>
    <n v="17278100"/>
    <n v="19005900"/>
    <n v="20906500"/>
    <n v="22997200"/>
    <n v="95895100"/>
  </r>
  <r>
    <n v="6"/>
    <x v="15"/>
    <s v="โครงการพัฒนาระบบบริหารจัดการที่มีธรรมาภิบาล"/>
    <x v="11"/>
    <n v="10000000"/>
    <n v="1200000"/>
    <n v="1400000"/>
    <n v="1600000"/>
    <n v="1800000"/>
    <n v="16000000"/>
  </r>
  <r>
    <n v="6"/>
    <x v="15"/>
    <s v="โครงการสำรวจความต้องการของชุมชนท้องถิ่น ภาครัฐ และเอกชน เพื่อการบริหารจัดการที่ตอบสนองความต้องการของผู้มีส่วนได้ส่วนเสีย"/>
    <x v="11"/>
    <n v="50000"/>
    <n v="50000"/>
    <n v="50000"/>
    <n v="50000"/>
    <n v="50000"/>
    <n v="250000"/>
  </r>
  <r>
    <n v="6"/>
    <x v="15"/>
    <s v="โครงการบริหารและจัดการการศึกษาคณะวิศวกรรมศาสตร์"/>
    <x v="2"/>
    <n v="23000000"/>
    <n v="24500000"/>
    <n v="26000000"/>
    <n v="27500000"/>
    <n v="29000000"/>
    <n v="130000000"/>
  </r>
  <r>
    <n v="6"/>
    <x v="15"/>
    <s v="โครงการพัฒนาระบบการบริหารจัดการสำนักคอมพิวเตอร์และเครือข่าย"/>
    <x v="13"/>
    <n v="1338820"/>
    <n v="1338820"/>
    <n v="1350000"/>
    <n v="1350000"/>
    <n v="1350000"/>
    <n v="6727640"/>
  </r>
  <r>
    <n v="6"/>
    <x v="15"/>
    <s v="โครงการบริหารจัดการค่าจ้างบุคลารสำนักคอมพิวเตอร์และเครือข่าย"/>
    <x v="13"/>
    <n v="2399566"/>
    <n v="2399566"/>
    <n v="2500000"/>
    <n v="2500000"/>
    <n v="2500000"/>
    <n v="12299132"/>
  </r>
  <r>
    <n v="6"/>
    <x v="15"/>
    <s v="โครงการติดตามประเมินผลการปฏิบัติงานตามแผน"/>
    <x v="13"/>
    <n v="185160"/>
    <n v="185160"/>
    <n v="150000"/>
    <n v="150000"/>
    <n v="150000"/>
    <n v="820320"/>
  </r>
  <r>
    <n v="6"/>
    <x v="15"/>
    <s v="โครงการพัฒนาระบบการประกันคุณภาพการศึกษาภายใน"/>
    <x v="13"/>
    <n v="100940"/>
    <n v="100940"/>
    <n v="100000"/>
    <n v="100000"/>
    <n v="100000"/>
    <n v="501880"/>
  </r>
  <r>
    <n v="6"/>
    <x v="15"/>
    <s v="โครงการบริหารจัดการเพื่อจ้างบุคลากรโดยใช้เงินงบประมาณแผ่นดิน"/>
    <x v="12"/>
    <n v="7144000"/>
    <n v="7572700"/>
    <n v="8027100"/>
    <n v="8508800"/>
    <n v="9019400"/>
    <n v="40272000"/>
  </r>
  <r>
    <n v="6"/>
    <x v="15"/>
    <s v="โครงการบริหารจัดการเพื่อจ้างบุคลากรโดยใช้เงินรายได้สำนักวิทยบริการ"/>
    <x v="12"/>
    <n v="2226000"/>
    <n v="2359600"/>
    <n v="2501200"/>
    <n v="2651300"/>
    <n v="2810400"/>
    <n v="12548500"/>
  </r>
  <r>
    <n v="6"/>
    <x v="15"/>
    <s v="โครงการจ้างเหมาทำความสะอาด "/>
    <x v="12"/>
    <n v="469000"/>
    <n v="492500"/>
    <n v="517100"/>
    <n v="543000"/>
    <n v="570200"/>
    <n v="2591800"/>
  </r>
  <r>
    <n v="6"/>
    <x v="15"/>
    <s v="โครงการบริหารจัดการภายในสำนักวิทยบริการ  "/>
    <x v="12"/>
    <n v="1912300"/>
    <n v="2007900"/>
    <n v="2108300"/>
    <n v="2213800"/>
    <n v="2324500"/>
    <n v="10566800"/>
  </r>
  <r>
    <n v="6"/>
    <x v="15"/>
    <s v="โครงการพัฒนาสำนักวิทยบริการ "/>
    <x v="12"/>
    <n v="200000"/>
    <n v="210000"/>
    <n v="220500"/>
    <n v="231500"/>
    <n v="243100"/>
    <n v="1105100"/>
  </r>
  <r>
    <n v="6"/>
    <x v="15"/>
    <s v="โครงการบริหารและจัดการทั่วไป"/>
    <x v="6"/>
    <n v="640000"/>
    <n v="640000"/>
    <n v="640000"/>
    <n v="640000"/>
    <n v="640000"/>
    <n v="3200000"/>
  </r>
  <r>
    <n v="6"/>
    <x v="15"/>
    <s v="โครงการบริหารจัดการวิทยาเขต"/>
    <x v="10"/>
    <n v="4957500"/>
    <n v="5000000"/>
    <n v="5500000"/>
    <n v="6000000"/>
    <n v="6500000"/>
    <n v="27957500"/>
  </r>
  <r>
    <n v="6"/>
    <x v="15"/>
    <s v="โครงการดำเนินงานด้านการประกันคุณภาพ"/>
    <x v="10"/>
    <n v="118000"/>
    <n v="120000"/>
    <n v="150000"/>
    <n v="200000"/>
    <n v="250000"/>
    <n v="838000"/>
  </r>
  <r>
    <n v="6"/>
    <x v="15"/>
    <s v="โครงการดำเนินงานด้านการประชาสัมพันธ์"/>
    <x v="10"/>
    <n v="95000"/>
    <n v="150000"/>
    <n v="170000"/>
    <n v="200000"/>
    <n v="220000"/>
    <n v="835000"/>
  </r>
  <r>
    <n v="6"/>
    <x v="16"/>
    <s v="โครงการพัฒนาระบบสารสนเทศเพื่อส่งเสริมการตัดสินใจผู้บริหาร "/>
    <x v="4"/>
    <n v="1500000"/>
    <n v="1500000"/>
    <n v="1500000"/>
    <n v="1500000"/>
    <n v="1500000"/>
    <n v="7500000"/>
  </r>
  <r>
    <n v="6"/>
    <x v="16"/>
    <s v="โครงการพัฒนาระบบฐานข้อมูลทางการเงินที่ถูกต้องทันสมัย โปร่งใส ตรวจสอบได้"/>
    <x v="4"/>
    <n v="100000"/>
    <n v="200000"/>
    <n v="300000"/>
    <n v="400000"/>
    <n v="500000"/>
    <n v="1500000"/>
  </r>
  <r>
    <n v="6"/>
    <x v="16"/>
    <s v="โครงการจัดหาตำรา สารสนเทศสนับสนุนการสอน"/>
    <x v="7"/>
    <n v="169300"/>
    <n v="177800"/>
    <n v="186700"/>
    <n v="196000"/>
    <n v="205800"/>
    <n v="935600"/>
  </r>
  <r>
    <n v="6"/>
    <x v="16"/>
    <s v="โครงการพัฒนาระบบสารสนเทศเพื่อเพิ่มประสิทธิภาพบริหารจัดการ"/>
    <x v="1"/>
    <n v="200000"/>
    <n v="200000"/>
    <n v="300000"/>
    <n v="300000"/>
    <n v="300000"/>
    <n v="1300000"/>
  </r>
  <r>
    <n v="6"/>
    <x v="16"/>
    <s v="โครงการพัฒนาระบบฐานข้อมูลสารสนเทศเพื่อการบริหารจัดการ"/>
    <x v="5"/>
    <n v="0"/>
    <n v="40000"/>
    <n v="0"/>
    <n v="0"/>
    <n v="0"/>
    <n v="40000"/>
  </r>
  <r>
    <n v="6"/>
    <x v="16"/>
    <s v="โครงการพัฒนาสารสนเทศ"/>
    <x v="11"/>
    <n v="100000"/>
    <n v="100000"/>
    <n v="100000"/>
    <n v="100000"/>
    <n v="100000"/>
    <n v="500000"/>
  </r>
  <r>
    <n v="6"/>
    <x v="16"/>
    <s v="โครงการรับบุคคลากรที่ให้คำปรึกษาด้านสารสนเทศ&#10;"/>
    <x v="13"/>
    <n v="116400"/>
    <n v="116400"/>
    <n v="100000"/>
    <n v="100000"/>
    <n v="100000"/>
    <n v="532800"/>
  </r>
  <r>
    <n v="6"/>
    <x v="16"/>
    <s v="โครงการเพื่อพัฒนาฐานข้อมูลกลางของมหาวิทยาลัย&#10;"/>
    <x v="13"/>
    <n v="200000"/>
    <n v="200000"/>
    <n v="230000"/>
    <n v="230000"/>
    <n v="230000"/>
    <n v="1090000"/>
  </r>
  <r>
    <n v="6"/>
    <x v="16"/>
    <s v="โครงการบริหารจัดการการพัฒนาฐานข้อมูลกลางของมหาวิทยาลัย"/>
    <x v="13"/>
    <n v="35000"/>
    <n v="35000"/>
    <n v="35000"/>
    <n v="35000"/>
    <n v="35000"/>
    <n v="175000"/>
  </r>
  <r>
    <n v="6"/>
    <x v="16"/>
    <s v="โครงการอบรมเพื่อเพิ่มประสิทธิการใช้เทคโนโลยีสารสนเทศ"/>
    <x v="13"/>
    <n v="165700"/>
    <n v="165700"/>
    <n v="200000"/>
    <n v="200000"/>
    <n v="200000"/>
    <n v="931400"/>
  </r>
  <r>
    <n v="6"/>
    <x v="16"/>
    <s v=" โครงการเพื่อเพิ่มประสิทธิภาพการให้บริการเครือข่ายคอมพิวเตอร์"/>
    <x v="13"/>
    <n v="5500000"/>
    <n v="5500000"/>
    <n v="5500000"/>
    <n v="5500000"/>
    <n v="5500000"/>
    <n v="27500000"/>
  </r>
  <r>
    <n v="6"/>
    <x v="16"/>
    <s v="โครงการพัฒนาและปรับปรุงระบบฐานข้อมูลเพื่อสนับสนุนการดำเนินงานตามพันธกิจ การบริหารจัดการและการตัดสินใจ "/>
    <x v="6"/>
    <n v="75000"/>
    <n v="75000"/>
    <n v="75000"/>
    <n v="75000"/>
    <n v="75000"/>
    <n v="375000"/>
  </r>
  <r>
    <n v="7"/>
    <x v="17"/>
    <s v="โครงการพัฒนาศักยภาพบุคลากรคณะวิทยาศาสตร์"/>
    <x v="0"/>
    <n v="2000000"/>
    <n v="2000000"/>
    <n v="2000000"/>
    <n v="2000000"/>
    <n v="2000000"/>
    <n v="10000000"/>
  </r>
  <r>
    <n v="7"/>
    <x v="17"/>
    <s v="โครงการพัฒนาบุคลากร"/>
    <x v="7"/>
    <n v="520000"/>
    <n v="546000"/>
    <n v="573300"/>
    <n v="602000"/>
    <n v="632100"/>
    <n v="2873400"/>
  </r>
  <r>
    <n v="7"/>
    <x v="17"/>
    <s v="โครงการพัฒนาบุคลากร คณะเกษตรศาสตร์"/>
    <x v="1"/>
    <n v="605000"/>
    <n v="700000"/>
    <n v="700000"/>
    <n v="800000"/>
    <n v="800000"/>
    <n v="3605000"/>
  </r>
  <r>
    <n v="7"/>
    <x v="17"/>
    <s v="โครงการอบรม ประชุม สัมมนา พัฒนาบุคลากรคณะเกษตรศาสตร์"/>
    <x v="1"/>
    <n v="200000"/>
    <n v="250000"/>
    <n v="300000"/>
    <n v="300000"/>
    <n v="300000"/>
    <n v="1350000"/>
  </r>
  <r>
    <n v="7"/>
    <x v="17"/>
    <s v="โครงการส่งเสริมและพัฒนาขีดความสามารถของบุคลากร"/>
    <x v="5"/>
    <n v="204000"/>
    <n v="224000"/>
    <n v="246000"/>
    <n v="271500"/>
    <n v="298600"/>
    <n v="1244100"/>
  </r>
  <r>
    <n v="7"/>
    <x v="17"/>
    <s v="โครงการส่งเสริมและพัฒนาขีดความสามารถของบุคลากร"/>
    <x v="9"/>
    <n v="669400"/>
    <n v="736300"/>
    <n v="810000"/>
    <n v="891000"/>
    <n v="980100"/>
    <n v="4086800"/>
  </r>
  <r>
    <n v="7"/>
    <x v="17"/>
    <s v="โครงการพัฒนาศักยภาพบุคลากรคณะวิศวกรรมศาสตร์"/>
    <x v="2"/>
    <n v="23000000"/>
    <n v="24500000"/>
    <n v="26000000"/>
    <n v="27500000"/>
    <n v="29000000"/>
    <n v="130000000"/>
  </r>
  <r>
    <n v="7"/>
    <x v="17"/>
    <s v=" โครงการเพิ่มพูนความรู้และพัฒนาศักยภาพของบุคลากรสำนักคอมพิวเตอร์และเครือข่าย"/>
    <x v="13"/>
    <n v="170000"/>
    <n v="170000"/>
    <n v="170000"/>
    <n v="170000"/>
    <n v="170000"/>
    <n v="850000"/>
  </r>
  <r>
    <n v="7"/>
    <x v="17"/>
    <s v="โครงการพัฒนาบุคลากรสำนักวิทยบริการในสายวิชาชีพ "/>
    <x v="12"/>
    <n v="551200"/>
    <n v="578800"/>
    <n v="607800"/>
    <n v="638200"/>
    <n v="670200"/>
    <n v="3046200"/>
  </r>
  <r>
    <n v="7"/>
    <x v="17"/>
    <s v="โครงการพัฒนาศักยภาพบุคลากรคณะเภสัชศาสตร์"/>
    <x v="6"/>
    <n v="2864000"/>
    <n v="2864000"/>
    <n v="2864000"/>
    <n v="2864000"/>
    <n v="2864000"/>
    <n v="14320000"/>
  </r>
  <r>
    <n v="7"/>
    <x v="17"/>
    <s v="โครงการพัฒนาผู้ บริหารทุกระดับให้มีสมรรถนะด้านการบริหารโดยยึดหลักธรรมาภิบาล"/>
    <x v="10"/>
    <n v="0"/>
    <n v="30000"/>
    <n v="30000"/>
    <n v="30000"/>
    <n v="30000"/>
    <n v="120000"/>
  </r>
  <r>
    <n v="7"/>
    <x v="17"/>
    <s v="โครงการพัฒนาระบบและกลไกการบริหารงานบุคคล"/>
    <x v="10"/>
    <n v="0"/>
    <n v="50000"/>
    <n v="50000"/>
    <n v="50000"/>
    <n v="50000"/>
    <n v="200000"/>
  </r>
  <r>
    <n v="7"/>
    <x v="17"/>
    <s v="โครงการพัฒนาระบบและกลไกการบริหารสวัสดิการและสวัสดิภาพพนักงาน"/>
    <x v="10"/>
    <n v="0"/>
    <n v="30000"/>
    <n v="30000"/>
    <n v="30000"/>
    <n v="30000"/>
    <n v="120000"/>
  </r>
  <r>
    <n v="7"/>
    <x v="18"/>
    <s v="โครงการจัดสวัสดิการสำหรับบุคลากร"/>
    <x v="4"/>
    <n v="100000"/>
    <n v="200000"/>
    <n v="300000"/>
    <n v="400000"/>
    <n v="500000"/>
    <n v="1500000"/>
  </r>
  <r>
    <n v="7"/>
    <x v="18"/>
    <s v="โครงการสถานที่ทำงานน่าอยู่น่าทำงาน"/>
    <x v="5"/>
    <n v="14500"/>
    <n v="10000"/>
    <n v="10000"/>
    <n v="10000"/>
    <n v="10000"/>
    <n v="54500"/>
  </r>
  <r>
    <n v="7"/>
    <x v="18"/>
    <s v="โครงการรณรงค์ประหยัดพลังงาน"/>
    <x v="5"/>
    <n v="500"/>
    <n v="2000"/>
    <n v="2000"/>
    <n v="2000"/>
    <n v="2000"/>
    <n v="8500"/>
  </r>
  <r>
    <n v="7"/>
    <x v="18"/>
    <s v="โครงการจัดสวัสดิการสำหรับบุคลากร"/>
    <x v="11"/>
    <n v="1000000"/>
    <n v="1000000"/>
    <n v="1000000"/>
    <n v="1000000"/>
    <n v="1000000"/>
    <n v="5000000"/>
  </r>
  <r>
    <n v="7"/>
    <x v="18"/>
    <s v="โครงการสร้างจิตสำนึกการอนุรักษ์พลังงานและสิ่งแวดล้อม"/>
    <x v="11"/>
    <n v="20000"/>
    <n v="20000"/>
    <n v="20000"/>
    <n v="20000"/>
    <n v="20000"/>
    <n v="100000"/>
  </r>
  <r>
    <n v="7"/>
    <x v="18"/>
    <s v="โครงการปรับปรุงอาคารและสถานที่เพื่อการให้บริการ"/>
    <x v="13"/>
    <n v="459764"/>
    <n v="459764"/>
    <n v="500000"/>
    <n v="500000"/>
    <n v="500000"/>
    <n v="2419528"/>
  </r>
  <r>
    <n v="7"/>
    <x v="18"/>
    <s v="โครงการเพื่อบริหารจัดการด้านสาธารณูปโภคสำนักคอมพิวเตอร์และเครือข่าย"/>
    <x v="13"/>
    <n v="2020750"/>
    <n v="2020750"/>
    <n v="2000000"/>
    <n v="2000000"/>
    <n v="2000000"/>
    <n v="10041500"/>
  </r>
  <r>
    <n v="7"/>
    <x v="18"/>
    <s v=" โครงการระบบสาธารณูปโภคและโครงสร้างพื้นฐาน"/>
    <x v="6"/>
    <n v="9501000"/>
    <n v="9501000"/>
    <n v="9501000"/>
    <n v="9501000"/>
    <n v="9501000"/>
    <n v="47505000"/>
  </r>
  <r>
    <n v="7"/>
    <x v="18"/>
    <s v="โครงการบริหารจัดการด้านสาธารณูปโภคสำนักวิทยบริการ"/>
    <x v="12"/>
    <n v="4223000"/>
    <n v="4435000"/>
    <n v="4656750"/>
    <n v="4889600"/>
    <n v="5134100"/>
    <n v="23338450"/>
  </r>
  <r>
    <n v="7"/>
    <x v="19"/>
    <s v="โครงการจัดการความรู้"/>
    <x v="7"/>
    <n v="10000"/>
    <n v="10500"/>
    <n v="11000"/>
    <n v="11600"/>
    <n v="12200"/>
    <n v="55300"/>
  </r>
  <r>
    <n v="7"/>
    <x v="19"/>
    <s v="โครงการจัดการความรู้"/>
    <x v="1"/>
    <n v="20000"/>
    <n v="20000"/>
    <n v="20000"/>
    <n v="20000"/>
    <n v="20000"/>
    <n v="100000"/>
  </r>
  <r>
    <n v="7"/>
    <x v="19"/>
    <s v="โครงการประชุมแลกเปลี่ยนเรียนรู้เกณฑ์การประกันคุณภาพการศึกษาทางด้านการเรียนการสอน"/>
    <x v="8"/>
    <n v="740000"/>
    <n v="740000"/>
    <n v="740000"/>
    <n v="740000"/>
    <n v="740000"/>
    <n v="3700000"/>
  </r>
  <r>
    <n v="7"/>
    <x v="19"/>
    <s v="โครงการจัดการความรู้"/>
    <x v="5"/>
    <n v="5600"/>
    <n v="10000"/>
    <n v="10000"/>
    <n v="10000"/>
    <n v="10000"/>
    <n v="45600"/>
  </r>
  <r>
    <n v="7"/>
    <x v="19"/>
    <s v="โครงการจัดการความรู้ คณะเภสัชศาสตร์ "/>
    <x v="6"/>
    <n v="8000"/>
    <n v="8000"/>
    <n v="8000"/>
    <n v="8000"/>
    <n v="8000"/>
    <n v="40000"/>
  </r>
  <r>
    <n v="7"/>
    <x v="19"/>
    <s v="โครงการจัดการความรู้ของคณะศิลปศาสตร์"/>
    <x v="11"/>
    <n v="200000"/>
    <n v="400000"/>
    <n v="600000"/>
    <n v="800000"/>
    <n v="1000000"/>
    <n v="3000000"/>
  </r>
  <r>
    <n v="7"/>
    <x v="19"/>
    <s v="โครงการจัดการความรู้"/>
    <x v="10"/>
    <n v="0"/>
    <n v="90000"/>
    <n v="90000"/>
    <n v="90000"/>
    <n v="90000"/>
    <n v="36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ค่า" updatedVersion="3" minRefreshableVersion="3" showCalcMbrs="0" useAutoFormatting="1" itemPrintTitles="1" createdVersion="3" indent="0" compact="0" compactData="0" gridDropZones="1" multipleFieldFilters="0">
  <location ref="A3:G19" firstHeaderRow="1" firstDataRow="2" firstDataCol="1"/>
  <pivotFields count="10">
    <pivotField compact="0" outline="0" showAll="0"/>
    <pivotField compact="0" outline="0" showAll="0"/>
    <pivotField compact="0" outline="0" showAll="0"/>
    <pivotField axis="axisRow" compact="0" outline="0" showAll="0">
      <items count="15">
        <item x="1"/>
        <item x="7"/>
        <item x="9"/>
        <item x="5"/>
        <item x="6"/>
        <item x="8"/>
        <item x="0"/>
        <item x="2"/>
        <item x="11"/>
        <item x="10"/>
        <item x="4"/>
        <item x="3"/>
        <item x="13"/>
        <item x="12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1">
    <field x="3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ผลรวม ของ 2555" fld="4" baseField="0" baseItem="0"/>
    <dataField name="ผลรวม ของ 2556" fld="5" baseField="0" baseItem="0"/>
    <dataField name="ผลรวม ของ 2557" fld="6" baseField="0" baseItem="0"/>
    <dataField name="ผลรวม ของ 2558" fld="7" baseField="0" baseItem="0"/>
    <dataField name="ผลรวม ของ 2559" fld="8" baseField="0" baseItem="0"/>
    <dataField name="ผลรวม ของ รวม" fld="9" baseField="0" baseItem="0"/>
  </dataFields>
  <formats count="12">
    <format dxfId="11">
      <pivotArea field="3" grandRow="1" outline="0" collapsedLevelsAreSubtotals="1" axis="axisRow" fieldPosition="0">
        <references count="1">
          <reference field="4294967294" count="1" selected="0">
            <x v="5"/>
          </reference>
        </references>
      </pivotArea>
    </format>
    <format dxfId="10">
      <pivotArea outline="0" collapsedLevelsAreSubtotals="1" fieldPosition="0"/>
    </format>
    <format dxfId="9">
      <pivotArea outline="0" collapsedLevelsAreSubtotals="1" fieldPosition="0">
        <references count="2">
          <reference field="4294967294" count="1" selected="0">
            <x v="1"/>
          </reference>
          <reference field="3" count="2" selected="0">
            <x v="1"/>
            <x v="2"/>
          </reference>
        </references>
      </pivotArea>
    </format>
    <format dxfId="8">
      <pivotArea outline="0" collapsedLevelsAreSubtotals="1" fieldPosition="0">
        <references count="2">
          <reference field="4294967294" count="1" selected="0">
            <x v="2"/>
          </reference>
          <reference field="3" count="2" selected="0">
            <x v="1"/>
            <x v="2"/>
          </reference>
        </references>
      </pivotArea>
    </format>
    <format dxfId="7">
      <pivotArea outline="0" collapsedLevelsAreSubtotals="1" fieldPosition="0">
        <references count="2">
          <reference field="4294967294" count="1" selected="0">
            <x v="3"/>
          </reference>
          <reference field="3" count="2" selected="0">
            <x v="1"/>
            <x v="2"/>
          </reference>
        </references>
      </pivotArea>
    </format>
    <format dxfId="6">
      <pivotArea outline="0" collapsedLevelsAreSubtotals="1" fieldPosition="0">
        <references count="2">
          <reference field="4294967294" count="1" selected="0">
            <x v="4"/>
          </reference>
          <reference field="3" count="2" selected="0">
            <x v="1"/>
            <x v="2"/>
          </reference>
        </references>
      </pivotArea>
    </format>
    <format dxfId="5">
      <pivotArea outline="0" collapsedLevelsAreSubtotals="1" fieldPosition="0">
        <references count="2">
          <reference field="4294967294" count="1" selected="0">
            <x v="5"/>
          </reference>
          <reference field="3" count="2" selected="0">
            <x v="1"/>
            <x v="2"/>
          </reference>
        </references>
      </pivotArea>
    </format>
    <format dxfId="4">
      <pivotArea outline="0" collapsedLevelsAreSubtotals="1" fieldPosition="0">
        <references count="2">
          <reference field="4294967294" count="1" selected="0">
            <x v="0"/>
          </reference>
          <reference field="3" count="11" selected="0"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3">
      <pivotArea outline="0" collapsedLevelsAreSubtotals="1" fieldPosition="0">
        <references count="2">
          <reference field="4294967294" count="5" selected="0">
            <x v="1"/>
            <x v="2"/>
            <x v="3"/>
            <x v="4"/>
            <x v="5"/>
          </reference>
          <reference field="3" count="1" selected="0">
            <x v="1"/>
          </reference>
        </references>
      </pivotArea>
    </format>
    <format dxfId="2">
      <pivotArea outline="0" collapsedLevelsAreSubtotals="1" fieldPosition="0">
        <references count="2">
          <reference field="4294967294" count="5" selected="0">
            <x v="1"/>
            <x v="2"/>
            <x v="3"/>
            <x v="4"/>
            <x v="5"/>
          </reference>
          <reference field="3" count="1" selected="0">
            <x v="2"/>
          </reference>
        </references>
      </pivotArea>
    </format>
    <format dxfId="1">
      <pivotArea outline="0" collapsedLevelsAreSubtotals="1" fieldPosition="0">
        <references count="2">
          <reference field="4294967294" count="1" selected="0">
            <x v="5"/>
          </reference>
          <reference field="3" count="1" selected="0">
            <x v="3"/>
          </reference>
        </references>
      </pivotArea>
    </format>
    <format dxfId="0">
      <pivotArea outline="0" collapsedLevelsAreSubtotals="1" fieldPosition="0">
        <references count="2">
          <reference field="4294967294" count="5" selected="0">
            <x v="1"/>
            <x v="2"/>
            <x v="3"/>
            <x v="4"/>
            <x v="5"/>
          </reference>
          <reference field="3" count="9" selected="0"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ค่า" updatedVersion="3" minRefreshableVersion="3" showCalcMbrs="0" useAutoFormatting="1" itemPrintTitles="1" createdVersion="3" indent="0" compact="0" compactData="0" gridDropZones="1" multipleFieldFilters="0">
  <location ref="B3:H25" firstHeaderRow="1" firstDataRow="2" firstDataCol="1"/>
  <pivotFields count="10">
    <pivotField compact="0" outline="0" showAll="0"/>
    <pivotField axis="axisRow" compact="0" outline="0" showAll="0">
      <items count="21">
        <item x="1"/>
        <item x="3"/>
        <item x="9"/>
        <item x="19"/>
        <item x="8"/>
        <item x="10"/>
        <item x="0"/>
        <item x="2"/>
        <item x="5"/>
        <item x="16"/>
        <item x="15"/>
        <item x="13"/>
        <item x="18"/>
        <item x="7"/>
        <item x="6"/>
        <item x="14"/>
        <item x="4"/>
        <item x="12"/>
        <item x="11"/>
        <item x="17"/>
        <item t="default"/>
      </items>
    </pivotField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numFmtId="187" outline="0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ผลรวม ของ 2555" fld="4" baseField="0" baseItem="0"/>
    <dataField name="ผลรวม ของ 2556" fld="5" baseField="0" baseItem="0"/>
    <dataField name="ผลรวม ของ 2557" fld="6" baseField="0" baseItem="0"/>
    <dataField name="ผลรวม ของ 2558" fld="7" baseField="0" baseItem="0"/>
    <dataField name="ผลรวม ของ 2559" fld="8" baseField="0" baseItem="0"/>
    <dataField name="ผลรวม ของ รวม" fld="9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T11"/>
  <sheetViews>
    <sheetView topLeftCell="M1" zoomScale="90" zoomScaleNormal="90" workbookViewId="0">
      <selection sqref="A1:P11"/>
    </sheetView>
  </sheetViews>
  <sheetFormatPr defaultColWidth="9" defaultRowHeight="24"/>
  <cols>
    <col min="1" max="12" width="27.75" style="8" customWidth="1"/>
    <col min="13" max="13" width="32.375" style="8" customWidth="1"/>
    <col min="14" max="16" width="24.125" style="8" customWidth="1"/>
    <col min="17" max="16384" width="9" style="8"/>
  </cols>
  <sheetData>
    <row r="1" spans="1:20" ht="30.75">
      <c r="A1" s="25" t="s">
        <v>0</v>
      </c>
    </row>
    <row r="2" spans="1:20">
      <c r="A2" s="1"/>
    </row>
    <row r="3" spans="1:20">
      <c r="A3" s="304" t="s">
        <v>1</v>
      </c>
      <c r="B3" s="307" t="s">
        <v>12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9"/>
      <c r="P3" s="310"/>
    </row>
    <row r="4" spans="1:20">
      <c r="A4" s="304"/>
      <c r="B4" s="11" t="s">
        <v>110</v>
      </c>
      <c r="C4" s="11" t="s">
        <v>21</v>
      </c>
      <c r="D4" s="11" t="s">
        <v>56</v>
      </c>
      <c r="E4" s="11" t="s">
        <v>94</v>
      </c>
      <c r="F4" s="11" t="s">
        <v>123</v>
      </c>
      <c r="G4" s="11" t="s">
        <v>2</v>
      </c>
      <c r="H4" s="11" t="s">
        <v>79</v>
      </c>
      <c r="I4" s="11" t="s">
        <v>58</v>
      </c>
      <c r="J4" s="11" t="s">
        <v>181</v>
      </c>
      <c r="K4" s="11" t="s">
        <v>50</v>
      </c>
      <c r="L4" s="11" t="s">
        <v>14</v>
      </c>
      <c r="M4" s="11" t="s">
        <v>182</v>
      </c>
      <c r="N4" s="11" t="s">
        <v>127</v>
      </c>
      <c r="O4" s="11" t="s">
        <v>97</v>
      </c>
      <c r="P4" s="11" t="s">
        <v>126</v>
      </c>
    </row>
    <row r="5" spans="1:20" ht="288">
      <c r="A5" s="10" t="s">
        <v>195</v>
      </c>
      <c r="B5" s="9" t="s">
        <v>162</v>
      </c>
      <c r="C5" s="10" t="s">
        <v>198</v>
      </c>
      <c r="D5" s="10" t="s">
        <v>204</v>
      </c>
      <c r="E5" s="10" t="s">
        <v>204</v>
      </c>
      <c r="F5" s="10" t="s">
        <v>210</v>
      </c>
      <c r="G5" s="10" t="s">
        <v>195</v>
      </c>
      <c r="H5" s="10" t="s">
        <v>218</v>
      </c>
      <c r="I5" s="10" t="s">
        <v>225</v>
      </c>
      <c r="J5" s="10" t="s">
        <v>226</v>
      </c>
      <c r="K5" s="10" t="s">
        <v>232</v>
      </c>
      <c r="L5" s="10" t="s">
        <v>195</v>
      </c>
      <c r="M5" s="9" t="s">
        <v>160</v>
      </c>
      <c r="N5" s="311" t="s">
        <v>237</v>
      </c>
      <c r="O5" s="311" t="s">
        <v>240</v>
      </c>
      <c r="P5" s="311" t="s">
        <v>236</v>
      </c>
      <c r="T5" s="1"/>
    </row>
    <row r="6" spans="1:20" ht="216">
      <c r="A6" s="10" t="s">
        <v>113</v>
      </c>
      <c r="B6" s="9" t="s">
        <v>113</v>
      </c>
      <c r="C6" s="10" t="s">
        <v>199</v>
      </c>
      <c r="D6" s="10" t="s">
        <v>205</v>
      </c>
      <c r="E6" s="10" t="s">
        <v>209</v>
      </c>
      <c r="F6" s="10" t="s">
        <v>211</v>
      </c>
      <c r="G6" s="10" t="s">
        <v>113</v>
      </c>
      <c r="H6" s="10" t="s">
        <v>219</v>
      </c>
      <c r="I6" s="10" t="s">
        <v>113</v>
      </c>
      <c r="J6" s="12" t="s">
        <v>227</v>
      </c>
      <c r="K6" s="10" t="s">
        <v>233</v>
      </c>
      <c r="L6" s="10" t="s">
        <v>113</v>
      </c>
      <c r="M6" s="9" t="s">
        <v>161</v>
      </c>
      <c r="N6" s="312"/>
      <c r="O6" s="312"/>
      <c r="P6" s="312"/>
      <c r="T6" s="2"/>
    </row>
    <row r="7" spans="1:20" ht="192">
      <c r="A7" s="9" t="s">
        <v>3</v>
      </c>
      <c r="B7" s="10" t="s">
        <v>197</v>
      </c>
      <c r="C7" s="10" t="s">
        <v>200</v>
      </c>
      <c r="D7" s="10" t="s">
        <v>206</v>
      </c>
      <c r="E7" s="10" t="s">
        <v>206</v>
      </c>
      <c r="F7" s="10" t="s">
        <v>212</v>
      </c>
      <c r="G7" s="10" t="s">
        <v>217</v>
      </c>
      <c r="H7" s="10" t="s">
        <v>220</v>
      </c>
      <c r="I7" s="10" t="s">
        <v>224</v>
      </c>
      <c r="J7" s="10" t="s">
        <v>228</v>
      </c>
      <c r="K7" s="10" t="s">
        <v>231</v>
      </c>
      <c r="L7" s="10" t="s">
        <v>217</v>
      </c>
      <c r="M7" s="9" t="s">
        <v>8</v>
      </c>
      <c r="N7" s="312"/>
      <c r="O7" s="313"/>
      <c r="P7" s="312"/>
      <c r="T7" s="2"/>
    </row>
    <row r="8" spans="1:20" ht="408">
      <c r="A8" s="9" t="s">
        <v>4</v>
      </c>
      <c r="B8" s="10" t="s">
        <v>196</v>
      </c>
      <c r="C8" s="10" t="s">
        <v>201</v>
      </c>
      <c r="D8" s="10" t="s">
        <v>207</v>
      </c>
      <c r="E8" s="10" t="s">
        <v>207</v>
      </c>
      <c r="F8" s="10" t="s">
        <v>213</v>
      </c>
      <c r="G8" s="10" t="s">
        <v>216</v>
      </c>
      <c r="H8" s="10" t="s">
        <v>221</v>
      </c>
      <c r="I8" s="10" t="s">
        <v>223</v>
      </c>
      <c r="J8" s="13" t="s">
        <v>167</v>
      </c>
      <c r="K8" s="10" t="s">
        <v>230</v>
      </c>
      <c r="L8" s="10" t="s">
        <v>216</v>
      </c>
      <c r="M8" s="10" t="s">
        <v>9</v>
      </c>
      <c r="N8" s="312"/>
      <c r="O8" s="10" t="s">
        <v>241</v>
      </c>
      <c r="P8" s="312"/>
      <c r="T8" s="2"/>
    </row>
    <row r="9" spans="1:20" ht="216">
      <c r="A9" s="9" t="s">
        <v>5</v>
      </c>
      <c r="B9" s="9" t="s">
        <v>163</v>
      </c>
      <c r="C9" s="10" t="s">
        <v>202</v>
      </c>
      <c r="D9" s="10" t="s">
        <v>208</v>
      </c>
      <c r="E9" s="10" t="s">
        <v>208</v>
      </c>
      <c r="F9" s="10" t="s">
        <v>214</v>
      </c>
      <c r="G9" s="10" t="s">
        <v>215</v>
      </c>
      <c r="H9" s="10" t="s">
        <v>222</v>
      </c>
      <c r="I9" s="9" t="s">
        <v>166</v>
      </c>
      <c r="J9" s="13"/>
      <c r="K9" s="10" t="s">
        <v>5</v>
      </c>
      <c r="L9" s="10" t="s">
        <v>215</v>
      </c>
      <c r="M9" s="10" t="s">
        <v>10</v>
      </c>
      <c r="N9" s="313"/>
      <c r="O9" s="10" t="s">
        <v>242</v>
      </c>
      <c r="P9" s="313"/>
      <c r="T9" s="2"/>
    </row>
    <row r="10" spans="1:20" ht="168">
      <c r="A10" s="152" t="s">
        <v>6</v>
      </c>
      <c r="B10" s="9" t="s">
        <v>164</v>
      </c>
      <c r="C10" s="305" t="s">
        <v>203</v>
      </c>
      <c r="D10" s="152" t="s">
        <v>6</v>
      </c>
      <c r="E10" s="10" t="s">
        <v>6</v>
      </c>
      <c r="F10" s="10" t="s">
        <v>194</v>
      </c>
      <c r="G10" s="10" t="s">
        <v>6</v>
      </c>
      <c r="H10" s="10" t="s">
        <v>193</v>
      </c>
      <c r="I10" s="10" t="s">
        <v>6</v>
      </c>
      <c r="J10" s="302" t="s">
        <v>192</v>
      </c>
      <c r="K10" s="10" t="s">
        <v>229</v>
      </c>
      <c r="L10" s="10" t="s">
        <v>6</v>
      </c>
      <c r="M10" s="10" t="s">
        <v>6</v>
      </c>
      <c r="N10" s="10" t="s">
        <v>238</v>
      </c>
      <c r="O10" s="10" t="s">
        <v>243</v>
      </c>
      <c r="P10" s="10" t="s">
        <v>234</v>
      </c>
    </row>
    <row r="11" spans="1:20" ht="288">
      <c r="A11" s="14" t="s">
        <v>7</v>
      </c>
      <c r="B11" s="14" t="s">
        <v>165</v>
      </c>
      <c r="C11" s="306"/>
      <c r="D11" s="14" t="s">
        <v>7</v>
      </c>
      <c r="E11" s="14" t="s">
        <v>7</v>
      </c>
      <c r="F11" s="14" t="s">
        <v>188</v>
      </c>
      <c r="G11" s="14" t="s">
        <v>190</v>
      </c>
      <c r="H11" s="14" t="s">
        <v>189</v>
      </c>
      <c r="I11" s="14" t="s">
        <v>7</v>
      </c>
      <c r="J11" s="303"/>
      <c r="K11" s="14" t="s">
        <v>191</v>
      </c>
      <c r="L11" s="14" t="s">
        <v>190</v>
      </c>
      <c r="M11" s="14" t="s">
        <v>7</v>
      </c>
      <c r="N11" s="14" t="s">
        <v>239</v>
      </c>
      <c r="O11" s="22"/>
      <c r="P11" s="14" t="s">
        <v>235</v>
      </c>
    </row>
  </sheetData>
  <mergeCells count="7">
    <mergeCell ref="J10:J11"/>
    <mergeCell ref="A3:A4"/>
    <mergeCell ref="C10:C11"/>
    <mergeCell ref="B3:P3"/>
    <mergeCell ref="P5:P9"/>
    <mergeCell ref="N5:N9"/>
    <mergeCell ref="O5:O7"/>
  </mergeCells>
  <printOptions horizontalCentered="1"/>
  <pageMargins left="0.15748031496062992" right="0.15748031496062992" top="0.74803149606299213" bottom="0.74803149606299213" header="0.31496062992125984" footer="0.31496062992125984"/>
  <pageSetup paperSize="5" scale="37" orientation="landscape" verticalDpi="0" r:id="rId1"/>
  <headerFooter>
    <oddFooter>&amp;C&amp;"TH SarabunPSK,ธรรมดา"&amp;20&amp;P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D241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N1"/>
    </sheetView>
  </sheetViews>
  <sheetFormatPr defaultColWidth="9" defaultRowHeight="24"/>
  <cols>
    <col min="1" max="1" width="30.625" style="7" customWidth="1"/>
    <col min="2" max="2" width="2.5" style="7" hidden="1" customWidth="1"/>
    <col min="3" max="3" width="42" style="166" customWidth="1"/>
    <col min="4" max="4" width="11.125" style="281" hidden="1" customWidth="1"/>
    <col min="5" max="7" width="6.875" style="166" hidden="1" customWidth="1"/>
    <col min="8" max="11" width="13.5" style="6" hidden="1" customWidth="1"/>
    <col min="12" max="14" width="10.875" style="6" customWidth="1"/>
    <col min="15" max="15" width="18.875" style="144" hidden="1" customWidth="1"/>
    <col min="16" max="30" width="9" style="166"/>
    <col min="31" max="16384" width="9" style="7"/>
  </cols>
  <sheetData>
    <row r="1" spans="1:30">
      <c r="A1" s="321" t="s">
        <v>424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167"/>
    </row>
    <row r="2" spans="1:30">
      <c r="A2" s="327" t="s">
        <v>423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168"/>
    </row>
    <row r="3" spans="1:30" ht="22.5" customHeight="1">
      <c r="A3" s="322" t="s">
        <v>111</v>
      </c>
      <c r="B3" s="258" t="s">
        <v>112</v>
      </c>
      <c r="C3" s="260" t="s">
        <v>114</v>
      </c>
      <c r="D3" s="260" t="s">
        <v>115</v>
      </c>
      <c r="E3" s="261" t="s">
        <v>116</v>
      </c>
      <c r="F3" s="261"/>
      <c r="G3" s="261"/>
      <c r="H3" s="262" t="s">
        <v>117</v>
      </c>
      <c r="I3" s="288"/>
      <c r="J3" s="288"/>
      <c r="K3" s="289"/>
      <c r="L3" s="263">
        <v>2557</v>
      </c>
      <c r="M3" s="263">
        <v>2558</v>
      </c>
      <c r="N3" s="263">
        <v>2559</v>
      </c>
      <c r="O3" s="217"/>
    </row>
    <row r="4" spans="1:30">
      <c r="A4" s="323"/>
      <c r="B4" s="259"/>
      <c r="C4" s="259"/>
      <c r="D4" s="259"/>
      <c r="E4" s="247"/>
      <c r="F4" s="247"/>
      <c r="G4" s="247"/>
      <c r="H4" s="263" t="s">
        <v>415</v>
      </c>
      <c r="I4" s="264"/>
      <c r="J4" s="262" t="s">
        <v>414</v>
      </c>
      <c r="K4" s="265"/>
      <c r="L4" s="263" t="s">
        <v>412</v>
      </c>
      <c r="M4" s="263" t="s">
        <v>412</v>
      </c>
      <c r="N4" s="263" t="s">
        <v>412</v>
      </c>
      <c r="O4" s="237"/>
    </row>
    <row r="5" spans="1:30" s="18" customFormat="1" ht="48.75" customHeight="1">
      <c r="A5" s="314" t="s">
        <v>416</v>
      </c>
      <c r="B5" s="270" t="s">
        <v>118</v>
      </c>
      <c r="C5" s="291" t="s">
        <v>358</v>
      </c>
      <c r="D5" s="261" t="s">
        <v>402</v>
      </c>
      <c r="E5" s="291"/>
      <c r="F5" s="291"/>
      <c r="G5" s="291"/>
      <c r="H5" s="292">
        <v>0</v>
      </c>
      <c r="I5" s="292">
        <v>0</v>
      </c>
      <c r="J5" s="293">
        <v>4</v>
      </c>
      <c r="K5" s="293"/>
      <c r="L5" s="293"/>
      <c r="M5" s="293"/>
      <c r="N5" s="294"/>
      <c r="O5" s="266" t="s">
        <v>390</v>
      </c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</row>
    <row r="6" spans="1:30" s="18" customFormat="1" ht="24" customHeight="1">
      <c r="A6" s="324"/>
      <c r="B6" s="253"/>
      <c r="C6" s="141" t="s">
        <v>110</v>
      </c>
      <c r="D6" s="218"/>
      <c r="E6" s="140"/>
      <c r="F6" s="140"/>
      <c r="G6" s="140"/>
      <c r="H6" s="219">
        <v>0</v>
      </c>
      <c r="I6" s="219"/>
      <c r="J6" s="219">
        <v>0</v>
      </c>
      <c r="K6" s="219"/>
      <c r="L6" s="185">
        <v>4</v>
      </c>
      <c r="M6" s="183">
        <v>4.5</v>
      </c>
      <c r="N6" s="183">
        <v>4.5</v>
      </c>
      <c r="O6" s="267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</row>
    <row r="7" spans="1:30" s="18" customFormat="1" ht="24" customHeight="1">
      <c r="A7" s="324"/>
      <c r="B7" s="253"/>
      <c r="C7" s="141" t="s">
        <v>56</v>
      </c>
      <c r="D7" s="218"/>
      <c r="E7" s="140"/>
      <c r="F7" s="140"/>
      <c r="G7" s="140"/>
      <c r="H7" s="219">
        <v>0</v>
      </c>
      <c r="I7" s="219"/>
      <c r="J7" s="219">
        <v>0</v>
      </c>
      <c r="K7" s="219"/>
      <c r="L7" s="185">
        <v>4</v>
      </c>
      <c r="M7" s="183">
        <v>4</v>
      </c>
      <c r="N7" s="183">
        <v>4.3</v>
      </c>
      <c r="O7" s="267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</row>
    <row r="8" spans="1:30" s="18" customFormat="1" ht="24" customHeight="1">
      <c r="A8" s="324"/>
      <c r="B8" s="253"/>
      <c r="C8" s="141" t="s">
        <v>94</v>
      </c>
      <c r="D8" s="218"/>
      <c r="E8" s="140"/>
      <c r="F8" s="140"/>
      <c r="G8" s="140"/>
      <c r="H8" s="219">
        <v>0</v>
      </c>
      <c r="I8" s="219"/>
      <c r="J8" s="219">
        <v>0</v>
      </c>
      <c r="K8" s="219"/>
      <c r="L8" s="185">
        <v>4.5</v>
      </c>
      <c r="M8" s="183">
        <v>5</v>
      </c>
      <c r="N8" s="183">
        <v>5</v>
      </c>
      <c r="O8" s="268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</row>
    <row r="9" spans="1:30" s="18" customFormat="1" ht="24" customHeight="1">
      <c r="A9" s="324"/>
      <c r="B9" s="253"/>
      <c r="C9" s="141" t="s">
        <v>95</v>
      </c>
      <c r="D9" s="218"/>
      <c r="E9" s="140"/>
      <c r="F9" s="140"/>
      <c r="G9" s="140"/>
      <c r="H9" s="219">
        <v>0</v>
      </c>
      <c r="I9" s="219"/>
      <c r="J9" s="219">
        <v>0</v>
      </c>
      <c r="K9" s="219"/>
      <c r="L9" s="185">
        <v>4</v>
      </c>
      <c r="M9" s="183">
        <v>4</v>
      </c>
      <c r="N9" s="183">
        <v>4.3</v>
      </c>
      <c r="O9" s="268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</row>
    <row r="10" spans="1:30" s="18" customFormat="1" ht="24" customHeight="1">
      <c r="A10" s="324"/>
      <c r="B10" s="253"/>
      <c r="C10" s="141" t="s">
        <v>123</v>
      </c>
      <c r="D10" s="218"/>
      <c r="E10" s="140"/>
      <c r="F10" s="140"/>
      <c r="G10" s="140"/>
      <c r="H10" s="219">
        <v>0</v>
      </c>
      <c r="I10" s="219"/>
      <c r="J10" s="219">
        <v>0</v>
      </c>
      <c r="K10" s="219"/>
      <c r="L10" s="185">
        <v>4</v>
      </c>
      <c r="M10" s="183">
        <v>4</v>
      </c>
      <c r="N10" s="183">
        <v>4.3</v>
      </c>
      <c r="O10" s="268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</row>
    <row r="11" spans="1:30" s="18" customFormat="1" ht="24" customHeight="1">
      <c r="A11" s="324"/>
      <c r="B11" s="253"/>
      <c r="C11" s="141" t="s">
        <v>76</v>
      </c>
      <c r="D11" s="218"/>
      <c r="E11" s="140"/>
      <c r="F11" s="140"/>
      <c r="G11" s="140"/>
      <c r="H11" s="219">
        <v>0</v>
      </c>
      <c r="I11" s="219"/>
      <c r="J11" s="219">
        <v>4</v>
      </c>
      <c r="K11" s="219"/>
      <c r="L11" s="185">
        <v>4.3</v>
      </c>
      <c r="M11" s="183">
        <v>4.3</v>
      </c>
      <c r="N11" s="183">
        <v>4.51</v>
      </c>
      <c r="O11" s="268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</row>
    <row r="12" spans="1:30" s="18" customFormat="1" ht="24" customHeight="1">
      <c r="A12" s="324"/>
      <c r="B12" s="253"/>
      <c r="C12" s="141" t="s">
        <v>79</v>
      </c>
      <c r="D12" s="218"/>
      <c r="E12" s="140"/>
      <c r="F12" s="140"/>
      <c r="G12" s="140"/>
      <c r="H12" s="219">
        <v>0</v>
      </c>
      <c r="I12" s="219"/>
      <c r="J12" s="219">
        <v>0</v>
      </c>
      <c r="K12" s="219"/>
      <c r="L12" s="185">
        <v>4.0999999999999996</v>
      </c>
      <c r="M12" s="183">
        <v>4.2</v>
      </c>
      <c r="N12" s="183">
        <v>4.3</v>
      </c>
      <c r="O12" s="268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</row>
    <row r="13" spans="1:30" s="18" customFormat="1" ht="24" customHeight="1">
      <c r="A13" s="324"/>
      <c r="B13" s="253"/>
      <c r="C13" s="141" t="s">
        <v>58</v>
      </c>
      <c r="D13" s="218"/>
      <c r="E13" s="140"/>
      <c r="F13" s="140"/>
      <c r="G13" s="140"/>
      <c r="H13" s="219">
        <v>0</v>
      </c>
      <c r="I13" s="219"/>
      <c r="J13" s="219">
        <v>0</v>
      </c>
      <c r="K13" s="219"/>
      <c r="L13" s="185">
        <v>4.3</v>
      </c>
      <c r="M13" s="183">
        <v>4.3</v>
      </c>
      <c r="N13" s="183">
        <v>4.3</v>
      </c>
      <c r="O13" s="268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</row>
    <row r="14" spans="1:30" s="18" customFormat="1" ht="24" customHeight="1">
      <c r="A14" s="324"/>
      <c r="B14" s="253"/>
      <c r="C14" s="141" t="s">
        <v>21</v>
      </c>
      <c r="D14" s="218"/>
      <c r="E14" s="140"/>
      <c r="F14" s="140"/>
      <c r="G14" s="140"/>
      <c r="H14" s="219">
        <v>0</v>
      </c>
      <c r="I14" s="219"/>
      <c r="J14" s="219">
        <v>0</v>
      </c>
      <c r="K14" s="219"/>
      <c r="L14" s="185">
        <v>4.5</v>
      </c>
      <c r="M14" s="183">
        <v>4.5</v>
      </c>
      <c r="N14" s="183">
        <v>4.51</v>
      </c>
      <c r="O14" s="268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</row>
    <row r="15" spans="1:30" s="18" customFormat="1" ht="24" customHeight="1">
      <c r="A15" s="324"/>
      <c r="B15" s="253"/>
      <c r="C15" s="141" t="s">
        <v>24</v>
      </c>
      <c r="D15" s="218"/>
      <c r="E15" s="140"/>
      <c r="F15" s="140"/>
      <c r="G15" s="140"/>
      <c r="H15" s="219">
        <v>0</v>
      </c>
      <c r="I15" s="219"/>
      <c r="J15" s="219">
        <v>0</v>
      </c>
      <c r="K15" s="219"/>
      <c r="L15" s="185">
        <v>4</v>
      </c>
      <c r="M15" s="183">
        <v>4</v>
      </c>
      <c r="N15" s="183">
        <v>4.3</v>
      </c>
      <c r="O15" s="268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</row>
    <row r="16" spans="1:30" s="18" customFormat="1" ht="24" customHeight="1">
      <c r="A16" s="324"/>
      <c r="B16" s="253"/>
      <c r="C16" s="141" t="s">
        <v>50</v>
      </c>
      <c r="D16" s="218"/>
      <c r="E16" s="140"/>
      <c r="F16" s="140"/>
      <c r="G16" s="140"/>
      <c r="H16" s="219">
        <v>0</v>
      </c>
      <c r="I16" s="219"/>
      <c r="J16" s="219">
        <v>4</v>
      </c>
      <c r="K16" s="219"/>
      <c r="L16" s="185">
        <v>4</v>
      </c>
      <c r="M16" s="183">
        <v>4</v>
      </c>
      <c r="N16" s="183">
        <v>4.3</v>
      </c>
      <c r="O16" s="268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8" customFormat="1" ht="24" customHeight="1">
      <c r="A17" s="324"/>
      <c r="B17" s="253"/>
      <c r="C17" s="142" t="s">
        <v>14</v>
      </c>
      <c r="D17" s="277"/>
      <c r="E17" s="143"/>
      <c r="F17" s="143"/>
      <c r="G17" s="143"/>
      <c r="H17" s="220">
        <v>0</v>
      </c>
      <c r="I17" s="220"/>
      <c r="J17" s="220">
        <v>0</v>
      </c>
      <c r="K17" s="220"/>
      <c r="L17" s="186">
        <v>4</v>
      </c>
      <c r="M17" s="184">
        <v>4</v>
      </c>
      <c r="N17" s="184">
        <v>4.3</v>
      </c>
      <c r="O17" s="269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</row>
    <row r="18" spans="1:30" s="18" customFormat="1" ht="54.75" customHeight="1">
      <c r="A18" s="324"/>
      <c r="B18" s="253"/>
      <c r="C18" s="291" t="s">
        <v>359</v>
      </c>
      <c r="D18" s="261" t="s">
        <v>119</v>
      </c>
      <c r="E18" s="291"/>
      <c r="F18" s="291"/>
      <c r="G18" s="291"/>
      <c r="H18" s="294">
        <v>80</v>
      </c>
      <c r="I18" s="294">
        <v>81.599999999999994</v>
      </c>
      <c r="J18" s="294">
        <v>80</v>
      </c>
      <c r="K18" s="294"/>
      <c r="L18" s="294"/>
      <c r="M18" s="294"/>
      <c r="N18" s="294"/>
      <c r="O18" s="140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8" customFormat="1" ht="24" customHeight="1">
      <c r="A19" s="324"/>
      <c r="B19" s="253"/>
      <c r="C19" s="141" t="s">
        <v>94</v>
      </c>
      <c r="D19" s="218"/>
      <c r="E19" s="140"/>
      <c r="F19" s="140"/>
      <c r="G19" s="140"/>
      <c r="H19" s="183">
        <v>80</v>
      </c>
      <c r="I19" s="183"/>
      <c r="J19" s="183">
        <v>80</v>
      </c>
      <c r="K19" s="183"/>
      <c r="L19" s="183">
        <v>85</v>
      </c>
      <c r="M19" s="183">
        <v>85</v>
      </c>
      <c r="N19" s="183">
        <v>85</v>
      </c>
      <c r="O19" s="140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8" customFormat="1" ht="24" customHeight="1">
      <c r="A20" s="324"/>
      <c r="B20" s="253"/>
      <c r="C20" s="141" t="s">
        <v>21</v>
      </c>
      <c r="D20" s="218"/>
      <c r="E20" s="140"/>
      <c r="F20" s="140"/>
      <c r="G20" s="140"/>
      <c r="H20" s="183">
        <v>80</v>
      </c>
      <c r="I20" s="183"/>
      <c r="J20" s="183">
        <v>80</v>
      </c>
      <c r="K20" s="183"/>
      <c r="L20" s="183">
        <v>85</v>
      </c>
      <c r="M20" s="183">
        <v>85</v>
      </c>
      <c r="N20" s="183">
        <v>85</v>
      </c>
      <c r="O20" s="140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</row>
    <row r="21" spans="1:30" s="18" customFormat="1" ht="24" customHeight="1">
      <c r="A21" s="324"/>
      <c r="B21" s="253"/>
      <c r="C21" s="141" t="s">
        <v>24</v>
      </c>
      <c r="D21" s="218"/>
      <c r="E21" s="140"/>
      <c r="F21" s="140"/>
      <c r="G21" s="140"/>
      <c r="H21" s="183">
        <v>85</v>
      </c>
      <c r="I21" s="183"/>
      <c r="J21" s="183">
        <v>90</v>
      </c>
      <c r="K21" s="183"/>
      <c r="L21" s="183">
        <v>90</v>
      </c>
      <c r="M21" s="183">
        <v>90</v>
      </c>
      <c r="N21" s="183">
        <v>90</v>
      </c>
      <c r="O21" s="140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8" customFormat="1" ht="24" customHeight="1">
      <c r="A22" s="324"/>
      <c r="B22" s="253"/>
      <c r="C22" s="141" t="s">
        <v>50</v>
      </c>
      <c r="D22" s="218"/>
      <c r="E22" s="140"/>
      <c r="F22" s="140"/>
      <c r="G22" s="140"/>
      <c r="H22" s="187">
        <v>0</v>
      </c>
      <c r="I22" s="187"/>
      <c r="J22" s="183">
        <v>80</v>
      </c>
      <c r="K22" s="183"/>
      <c r="L22" s="183">
        <v>80</v>
      </c>
      <c r="M22" s="183">
        <v>80</v>
      </c>
      <c r="N22" s="183">
        <v>80</v>
      </c>
      <c r="O22" s="140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0" s="18" customFormat="1">
      <c r="A23" s="324"/>
      <c r="B23" s="253"/>
      <c r="C23" s="143" t="s">
        <v>360</v>
      </c>
      <c r="D23" s="277" t="s">
        <v>119</v>
      </c>
      <c r="E23" s="143"/>
      <c r="F23" s="143"/>
      <c r="G23" s="143"/>
      <c r="H23" s="295">
        <v>75</v>
      </c>
      <c r="I23" s="295">
        <v>85.462999999999994</v>
      </c>
      <c r="J23" s="295">
        <v>80</v>
      </c>
      <c r="K23" s="295"/>
      <c r="L23" s="295"/>
      <c r="M23" s="295"/>
      <c r="N23" s="295"/>
      <c r="O23" s="140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</row>
    <row r="24" spans="1:30" s="18" customFormat="1" ht="24" customHeight="1">
      <c r="A24" s="324"/>
      <c r="B24" s="253"/>
      <c r="C24" s="141" t="s">
        <v>110</v>
      </c>
      <c r="D24" s="190"/>
      <c r="E24" s="140"/>
      <c r="F24" s="140"/>
      <c r="G24" s="140"/>
      <c r="H24" s="183">
        <v>75</v>
      </c>
      <c r="I24" s="183"/>
      <c r="J24" s="183">
        <v>80</v>
      </c>
      <c r="K24" s="183"/>
      <c r="L24" s="183">
        <v>83</v>
      </c>
      <c r="M24" s="183">
        <v>85</v>
      </c>
      <c r="N24" s="183">
        <v>90</v>
      </c>
      <c r="O24" s="140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</row>
    <row r="25" spans="1:30" s="18" customFormat="1" ht="24" customHeight="1">
      <c r="A25" s="324"/>
      <c r="B25" s="253"/>
      <c r="C25" s="141" t="s">
        <v>56</v>
      </c>
      <c r="D25" s="218"/>
      <c r="E25" s="140"/>
      <c r="F25" s="140"/>
      <c r="G25" s="140"/>
      <c r="H25" s="183">
        <v>80</v>
      </c>
      <c r="I25" s="183"/>
      <c r="J25" s="183">
        <v>80</v>
      </c>
      <c r="K25" s="183"/>
      <c r="L25" s="183">
        <v>83</v>
      </c>
      <c r="M25" s="183">
        <v>85</v>
      </c>
      <c r="N25" s="183">
        <v>90</v>
      </c>
      <c r="O25" s="140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</row>
    <row r="26" spans="1:30" s="18" customFormat="1" ht="24" customHeight="1">
      <c r="A26" s="324"/>
      <c r="B26" s="253"/>
      <c r="C26" s="141" t="s">
        <v>94</v>
      </c>
      <c r="D26" s="218"/>
      <c r="E26" s="140"/>
      <c r="F26" s="140"/>
      <c r="G26" s="140"/>
      <c r="H26" s="183">
        <v>95</v>
      </c>
      <c r="I26" s="183"/>
      <c r="J26" s="183">
        <v>95</v>
      </c>
      <c r="K26" s="183"/>
      <c r="L26" s="183">
        <v>95</v>
      </c>
      <c r="M26" s="183">
        <v>95</v>
      </c>
      <c r="N26" s="183">
        <v>95</v>
      </c>
      <c r="O26" s="140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</row>
    <row r="27" spans="1:30" s="18" customFormat="1" ht="24" customHeight="1">
      <c r="A27" s="324"/>
      <c r="B27" s="253"/>
      <c r="C27" s="141" t="s">
        <v>95</v>
      </c>
      <c r="D27" s="218"/>
      <c r="E27" s="140"/>
      <c r="F27" s="140"/>
      <c r="G27" s="140"/>
      <c r="H27" s="183">
        <v>90</v>
      </c>
      <c r="I27" s="183"/>
      <c r="J27" s="183">
        <v>90</v>
      </c>
      <c r="K27" s="183"/>
      <c r="L27" s="183">
        <v>90</v>
      </c>
      <c r="M27" s="183">
        <v>90</v>
      </c>
      <c r="N27" s="183">
        <v>90</v>
      </c>
      <c r="O27" s="140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</row>
    <row r="28" spans="1:30" s="18" customFormat="1" ht="24" customHeight="1">
      <c r="A28" s="324"/>
      <c r="B28" s="253"/>
      <c r="C28" s="141" t="s">
        <v>123</v>
      </c>
      <c r="D28" s="218"/>
      <c r="E28" s="140"/>
      <c r="F28" s="140"/>
      <c r="G28" s="140"/>
      <c r="H28" s="183">
        <v>100</v>
      </c>
      <c r="I28" s="183"/>
      <c r="J28" s="183">
        <v>100</v>
      </c>
      <c r="K28" s="183"/>
      <c r="L28" s="183">
        <v>100</v>
      </c>
      <c r="M28" s="183">
        <v>100</v>
      </c>
      <c r="N28" s="183">
        <v>100</v>
      </c>
      <c r="O28" s="140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</row>
    <row r="29" spans="1:30" s="18" customFormat="1" ht="24" customHeight="1">
      <c r="A29" s="324"/>
      <c r="B29" s="253"/>
      <c r="C29" s="141" t="s">
        <v>76</v>
      </c>
      <c r="D29" s="218"/>
      <c r="E29" s="140"/>
      <c r="F29" s="140"/>
      <c r="G29" s="140"/>
      <c r="H29" s="183">
        <v>80</v>
      </c>
      <c r="I29" s="183"/>
      <c r="J29" s="183">
        <v>80</v>
      </c>
      <c r="K29" s="183"/>
      <c r="L29" s="183">
        <v>85</v>
      </c>
      <c r="M29" s="183">
        <v>85</v>
      </c>
      <c r="N29" s="183">
        <v>90</v>
      </c>
      <c r="O29" s="140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</row>
    <row r="30" spans="1:30" s="18" customFormat="1" ht="24" customHeight="1">
      <c r="A30" s="324"/>
      <c r="B30" s="253"/>
      <c r="C30" s="141" t="s">
        <v>79</v>
      </c>
      <c r="D30" s="218"/>
      <c r="E30" s="140"/>
      <c r="F30" s="140"/>
      <c r="G30" s="140"/>
      <c r="H30" s="183">
        <v>75</v>
      </c>
      <c r="I30" s="183"/>
      <c r="J30" s="183">
        <v>80</v>
      </c>
      <c r="K30" s="183"/>
      <c r="L30" s="183">
        <v>83</v>
      </c>
      <c r="M30" s="183">
        <v>85</v>
      </c>
      <c r="N30" s="183">
        <v>90</v>
      </c>
      <c r="O30" s="140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</row>
    <row r="31" spans="1:30" s="18" customFormat="1" ht="24" customHeight="1">
      <c r="A31" s="324"/>
      <c r="B31" s="253"/>
      <c r="C31" s="141" t="s">
        <v>58</v>
      </c>
      <c r="D31" s="218"/>
      <c r="E31" s="140"/>
      <c r="F31" s="140"/>
      <c r="G31" s="140"/>
      <c r="H31" s="183">
        <v>75</v>
      </c>
      <c r="I31" s="183"/>
      <c r="J31" s="183">
        <v>80</v>
      </c>
      <c r="K31" s="183"/>
      <c r="L31" s="183">
        <v>83</v>
      </c>
      <c r="M31" s="183">
        <v>85</v>
      </c>
      <c r="N31" s="183">
        <v>90</v>
      </c>
      <c r="O31" s="140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</row>
    <row r="32" spans="1:30" s="18" customFormat="1" ht="24" customHeight="1">
      <c r="A32" s="324"/>
      <c r="B32" s="253"/>
      <c r="C32" s="141" t="s">
        <v>21</v>
      </c>
      <c r="D32" s="218"/>
      <c r="E32" s="140"/>
      <c r="F32" s="140"/>
      <c r="G32" s="140"/>
      <c r="H32" s="183">
        <v>100</v>
      </c>
      <c r="I32" s="183"/>
      <c r="J32" s="183">
        <v>100</v>
      </c>
      <c r="K32" s="183"/>
      <c r="L32" s="183">
        <v>100</v>
      </c>
      <c r="M32" s="183">
        <v>100</v>
      </c>
      <c r="N32" s="183">
        <v>100</v>
      </c>
      <c r="O32" s="140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</row>
    <row r="33" spans="1:30" s="18" customFormat="1" ht="24" customHeight="1">
      <c r="A33" s="324"/>
      <c r="B33" s="253"/>
      <c r="C33" s="141" t="s">
        <v>24</v>
      </c>
      <c r="D33" s="218"/>
      <c r="E33" s="140"/>
      <c r="F33" s="140"/>
      <c r="G33" s="140"/>
      <c r="H33" s="183">
        <v>80</v>
      </c>
      <c r="I33" s="183"/>
      <c r="J33" s="183">
        <v>82</v>
      </c>
      <c r="K33" s="183"/>
      <c r="L33" s="183">
        <v>83</v>
      </c>
      <c r="M33" s="183">
        <v>85</v>
      </c>
      <c r="N33" s="183">
        <v>90</v>
      </c>
      <c r="O33" s="140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</row>
    <row r="34" spans="1:30" s="18" customFormat="1" ht="24" customHeight="1">
      <c r="A34" s="324"/>
      <c r="B34" s="253"/>
      <c r="C34" s="141" t="s">
        <v>50</v>
      </c>
      <c r="D34" s="218"/>
      <c r="E34" s="140"/>
      <c r="F34" s="140"/>
      <c r="G34" s="140"/>
      <c r="H34" s="187" t="s">
        <v>22</v>
      </c>
      <c r="I34" s="187"/>
      <c r="J34" s="183">
        <v>100</v>
      </c>
      <c r="K34" s="183"/>
      <c r="L34" s="183">
        <v>100</v>
      </c>
      <c r="M34" s="183">
        <v>100</v>
      </c>
      <c r="N34" s="183">
        <v>100</v>
      </c>
      <c r="O34" s="140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</row>
    <row r="35" spans="1:30" s="18" customFormat="1" ht="24" customHeight="1">
      <c r="A35" s="324"/>
      <c r="B35" s="253"/>
      <c r="C35" s="142" t="s">
        <v>14</v>
      </c>
      <c r="D35" s="277"/>
      <c r="E35" s="143"/>
      <c r="F35" s="143"/>
      <c r="G35" s="143"/>
      <c r="H35" s="184" t="s">
        <v>306</v>
      </c>
      <c r="I35" s="184"/>
      <c r="J35" s="184">
        <v>80</v>
      </c>
      <c r="K35" s="184"/>
      <c r="L35" s="184">
        <v>83</v>
      </c>
      <c r="M35" s="184">
        <v>85</v>
      </c>
      <c r="N35" s="184">
        <v>90</v>
      </c>
      <c r="O35" s="143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</row>
    <row r="36" spans="1:30" s="18" customFormat="1" ht="48">
      <c r="A36" s="324"/>
      <c r="B36" s="253"/>
      <c r="C36" s="291" t="s">
        <v>361</v>
      </c>
      <c r="D36" s="261" t="s">
        <v>119</v>
      </c>
      <c r="E36" s="291"/>
      <c r="F36" s="291"/>
      <c r="G36" s="291"/>
      <c r="H36" s="294">
        <v>80</v>
      </c>
      <c r="I36" s="294">
        <v>86.205999999999989</v>
      </c>
      <c r="J36" s="294">
        <v>80</v>
      </c>
      <c r="K36" s="294"/>
      <c r="L36" s="294"/>
      <c r="M36" s="294"/>
      <c r="N36" s="294"/>
      <c r="O36" s="140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</row>
    <row r="37" spans="1:30" s="18" customFormat="1" ht="24" customHeight="1">
      <c r="A37" s="324"/>
      <c r="B37" s="253"/>
      <c r="C37" s="141" t="s">
        <v>110</v>
      </c>
      <c r="D37" s="218"/>
      <c r="E37" s="140"/>
      <c r="F37" s="140"/>
      <c r="G37" s="140"/>
      <c r="H37" s="183">
        <v>85</v>
      </c>
      <c r="I37" s="183"/>
      <c r="J37" s="183">
        <v>85</v>
      </c>
      <c r="K37" s="183"/>
      <c r="L37" s="183">
        <v>85</v>
      </c>
      <c r="M37" s="183">
        <v>85</v>
      </c>
      <c r="N37" s="183">
        <v>85</v>
      </c>
      <c r="O37" s="140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</row>
    <row r="38" spans="1:30" s="18" customFormat="1" ht="24" customHeight="1">
      <c r="A38" s="324"/>
      <c r="B38" s="253"/>
      <c r="C38" s="141" t="s">
        <v>56</v>
      </c>
      <c r="D38" s="218"/>
      <c r="E38" s="140"/>
      <c r="F38" s="140"/>
      <c r="G38" s="140"/>
      <c r="H38" s="183">
        <v>80</v>
      </c>
      <c r="I38" s="183"/>
      <c r="J38" s="183">
        <v>80</v>
      </c>
      <c r="K38" s="183"/>
      <c r="L38" s="183">
        <v>85</v>
      </c>
      <c r="M38" s="183">
        <v>85</v>
      </c>
      <c r="N38" s="183">
        <v>85</v>
      </c>
      <c r="O38" s="140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</row>
    <row r="39" spans="1:30" s="18" customFormat="1" ht="24" customHeight="1">
      <c r="A39" s="324"/>
      <c r="B39" s="253"/>
      <c r="C39" s="141" t="s">
        <v>94</v>
      </c>
      <c r="D39" s="218"/>
      <c r="E39" s="140"/>
      <c r="F39" s="140"/>
      <c r="G39" s="140"/>
      <c r="H39" s="183">
        <v>85</v>
      </c>
      <c r="I39" s="183"/>
      <c r="J39" s="183">
        <v>85</v>
      </c>
      <c r="K39" s="183"/>
      <c r="L39" s="183">
        <v>85</v>
      </c>
      <c r="M39" s="183">
        <v>85</v>
      </c>
      <c r="N39" s="183">
        <v>85</v>
      </c>
      <c r="O39" s="140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</row>
    <row r="40" spans="1:30" s="18" customFormat="1" ht="24" customHeight="1">
      <c r="A40" s="324"/>
      <c r="B40" s="253"/>
      <c r="C40" s="141" t="s">
        <v>95</v>
      </c>
      <c r="D40" s="218"/>
      <c r="E40" s="140"/>
      <c r="F40" s="140"/>
      <c r="G40" s="140"/>
      <c r="H40" s="183">
        <v>100</v>
      </c>
      <c r="I40" s="183"/>
      <c r="J40" s="183">
        <v>100</v>
      </c>
      <c r="K40" s="183"/>
      <c r="L40" s="183">
        <v>100</v>
      </c>
      <c r="M40" s="183">
        <v>100</v>
      </c>
      <c r="N40" s="183">
        <v>100</v>
      </c>
      <c r="O40" s="140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</row>
    <row r="41" spans="1:30" s="18" customFormat="1" ht="24" customHeight="1">
      <c r="A41" s="324"/>
      <c r="B41" s="253"/>
      <c r="C41" s="141" t="s">
        <v>123</v>
      </c>
      <c r="D41" s="218"/>
      <c r="E41" s="140"/>
      <c r="F41" s="140"/>
      <c r="G41" s="140"/>
      <c r="H41" s="183">
        <v>80</v>
      </c>
      <c r="I41" s="183"/>
      <c r="J41" s="183">
        <v>80</v>
      </c>
      <c r="K41" s="183"/>
      <c r="L41" s="183">
        <v>85</v>
      </c>
      <c r="M41" s="183">
        <v>80</v>
      </c>
      <c r="N41" s="183">
        <v>85</v>
      </c>
      <c r="O41" s="140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</row>
    <row r="42" spans="1:30" s="18" customFormat="1" ht="24" customHeight="1">
      <c r="A42" s="324"/>
      <c r="B42" s="253"/>
      <c r="C42" s="141" t="s">
        <v>76</v>
      </c>
      <c r="D42" s="218"/>
      <c r="E42" s="140"/>
      <c r="F42" s="140"/>
      <c r="G42" s="140"/>
      <c r="H42" s="183">
        <v>80</v>
      </c>
      <c r="I42" s="183"/>
      <c r="J42" s="183">
        <v>80</v>
      </c>
      <c r="K42" s="183"/>
      <c r="L42" s="183">
        <v>85</v>
      </c>
      <c r="M42" s="183">
        <v>85</v>
      </c>
      <c r="N42" s="183">
        <v>85</v>
      </c>
      <c r="O42" s="140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</row>
    <row r="43" spans="1:30" s="18" customFormat="1" ht="24" customHeight="1">
      <c r="A43" s="324"/>
      <c r="B43" s="253"/>
      <c r="C43" s="141" t="s">
        <v>79</v>
      </c>
      <c r="D43" s="218"/>
      <c r="E43" s="140"/>
      <c r="F43" s="140"/>
      <c r="G43" s="140"/>
      <c r="H43" s="188">
        <v>80</v>
      </c>
      <c r="I43" s="188"/>
      <c r="J43" s="188">
        <v>80</v>
      </c>
      <c r="K43" s="188"/>
      <c r="L43" s="188">
        <v>85</v>
      </c>
      <c r="M43" s="188">
        <v>85</v>
      </c>
      <c r="N43" s="188">
        <v>85</v>
      </c>
      <c r="O43" s="140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</row>
    <row r="44" spans="1:30" s="18" customFormat="1" ht="24" customHeight="1">
      <c r="A44" s="324"/>
      <c r="B44" s="253"/>
      <c r="C44" s="141" t="s">
        <v>58</v>
      </c>
      <c r="D44" s="218"/>
      <c r="E44" s="140"/>
      <c r="F44" s="140"/>
      <c r="G44" s="140"/>
      <c r="H44" s="183">
        <v>80</v>
      </c>
      <c r="I44" s="183"/>
      <c r="J44" s="183">
        <v>80</v>
      </c>
      <c r="K44" s="183"/>
      <c r="L44" s="183">
        <v>85</v>
      </c>
      <c r="M44" s="183">
        <v>85</v>
      </c>
      <c r="N44" s="183">
        <v>85</v>
      </c>
      <c r="O44" s="140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</row>
    <row r="45" spans="1:30" s="18" customFormat="1" ht="24" customHeight="1">
      <c r="A45" s="324"/>
      <c r="B45" s="253"/>
      <c r="C45" s="141" t="s">
        <v>21</v>
      </c>
      <c r="D45" s="218"/>
      <c r="E45" s="140"/>
      <c r="F45" s="140"/>
      <c r="G45" s="140"/>
      <c r="H45" s="183">
        <v>100</v>
      </c>
      <c r="I45" s="183"/>
      <c r="J45" s="183">
        <v>100</v>
      </c>
      <c r="K45" s="183"/>
      <c r="L45" s="183">
        <v>100</v>
      </c>
      <c r="M45" s="183">
        <v>100</v>
      </c>
      <c r="N45" s="183">
        <v>100</v>
      </c>
      <c r="O45" s="140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</row>
    <row r="46" spans="1:30" s="18" customFormat="1" ht="24" customHeight="1">
      <c r="A46" s="324"/>
      <c r="B46" s="253"/>
      <c r="C46" s="141" t="s">
        <v>24</v>
      </c>
      <c r="D46" s="218"/>
      <c r="E46" s="140"/>
      <c r="F46" s="140"/>
      <c r="G46" s="140"/>
      <c r="H46" s="183">
        <v>90</v>
      </c>
      <c r="I46" s="183"/>
      <c r="J46" s="183">
        <v>100</v>
      </c>
      <c r="K46" s="183"/>
      <c r="L46" s="183">
        <v>100</v>
      </c>
      <c r="M46" s="183">
        <v>100</v>
      </c>
      <c r="N46" s="183">
        <v>100</v>
      </c>
      <c r="O46" s="140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</row>
    <row r="47" spans="1:30" s="18" customFormat="1" ht="24" customHeight="1">
      <c r="A47" s="324"/>
      <c r="B47" s="253"/>
      <c r="C47" s="141" t="s">
        <v>50</v>
      </c>
      <c r="D47" s="218"/>
      <c r="E47" s="140"/>
      <c r="F47" s="140"/>
      <c r="G47" s="140"/>
      <c r="H47" s="183" t="s">
        <v>306</v>
      </c>
      <c r="I47" s="183"/>
      <c r="J47" s="183">
        <v>100</v>
      </c>
      <c r="K47" s="183"/>
      <c r="L47" s="183">
        <v>100</v>
      </c>
      <c r="M47" s="183">
        <v>100</v>
      </c>
      <c r="N47" s="183">
        <v>100</v>
      </c>
      <c r="O47" s="140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</row>
    <row r="48" spans="1:30" s="18" customFormat="1" ht="24" customHeight="1">
      <c r="A48" s="324"/>
      <c r="B48" s="253"/>
      <c r="C48" s="142" t="s">
        <v>14</v>
      </c>
      <c r="D48" s="277"/>
      <c r="E48" s="143"/>
      <c r="F48" s="143"/>
      <c r="G48" s="143"/>
      <c r="H48" s="184" t="s">
        <v>22</v>
      </c>
      <c r="I48" s="184"/>
      <c r="J48" s="184">
        <v>80</v>
      </c>
      <c r="K48" s="184"/>
      <c r="L48" s="184">
        <v>85</v>
      </c>
      <c r="M48" s="184">
        <v>85</v>
      </c>
      <c r="N48" s="184">
        <v>85</v>
      </c>
      <c r="O48" s="143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</row>
    <row r="49" spans="1:30" s="18" customFormat="1" ht="48">
      <c r="A49" s="324"/>
      <c r="B49" s="273"/>
      <c r="C49" s="245" t="s">
        <v>362</v>
      </c>
      <c r="D49" s="247" t="s">
        <v>119</v>
      </c>
      <c r="E49" s="245"/>
      <c r="F49" s="245"/>
      <c r="G49" s="245"/>
      <c r="H49" s="246">
        <v>80</v>
      </c>
      <c r="I49" s="246">
        <v>81.147999999999996</v>
      </c>
      <c r="J49" s="246">
        <v>80</v>
      </c>
      <c r="K49" s="246"/>
      <c r="L49" s="246"/>
      <c r="M49" s="246"/>
      <c r="N49" s="246"/>
      <c r="O49" s="140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</row>
    <row r="50" spans="1:30" s="18" customFormat="1" ht="48" hidden="1" customHeight="1">
      <c r="A50" s="324"/>
      <c r="B50" s="253"/>
      <c r="C50" s="140" t="s">
        <v>168</v>
      </c>
      <c r="D50" s="190"/>
      <c r="E50" s="140"/>
      <c r="F50" s="140"/>
      <c r="G50" s="140"/>
      <c r="H50" s="182">
        <f>AVERAGE(H51:H62)</f>
        <v>80</v>
      </c>
      <c r="I50" s="182"/>
      <c r="J50" s="182">
        <f t="shared" ref="J50:N50" si="0">AVERAGE(J51:J62)</f>
        <v>81</v>
      </c>
      <c r="K50" s="182"/>
      <c r="L50" s="182">
        <f t="shared" si="0"/>
        <v>81.75</v>
      </c>
      <c r="M50" s="182">
        <f t="shared" si="0"/>
        <v>83.333333333333329</v>
      </c>
      <c r="N50" s="182">
        <f t="shared" si="0"/>
        <v>84.75</v>
      </c>
      <c r="O50" s="218" t="s">
        <v>398</v>
      </c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</row>
    <row r="51" spans="1:30" s="18" customFormat="1">
      <c r="A51" s="324"/>
      <c r="B51" s="253"/>
      <c r="C51" s="141" t="s">
        <v>110</v>
      </c>
      <c r="D51" s="218"/>
      <c r="E51" s="140"/>
      <c r="F51" s="140"/>
      <c r="G51" s="140"/>
      <c r="H51" s="183">
        <v>80</v>
      </c>
      <c r="I51" s="183"/>
      <c r="J51" s="183">
        <v>80</v>
      </c>
      <c r="K51" s="183"/>
      <c r="L51" s="183">
        <v>80</v>
      </c>
      <c r="M51" s="183">
        <v>82</v>
      </c>
      <c r="N51" s="183">
        <v>82</v>
      </c>
      <c r="O51" s="140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</row>
    <row r="52" spans="1:30" s="18" customFormat="1">
      <c r="A52" s="324"/>
      <c r="B52" s="253"/>
      <c r="C52" s="141" t="s">
        <v>56</v>
      </c>
      <c r="D52" s="218"/>
      <c r="E52" s="140"/>
      <c r="F52" s="140"/>
      <c r="G52" s="140"/>
      <c r="H52" s="183">
        <v>80</v>
      </c>
      <c r="I52" s="183"/>
      <c r="J52" s="183">
        <v>80</v>
      </c>
      <c r="K52" s="183"/>
      <c r="L52" s="183">
        <v>80</v>
      </c>
      <c r="M52" s="183">
        <v>82</v>
      </c>
      <c r="N52" s="183">
        <v>82</v>
      </c>
      <c r="O52" s="140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</row>
    <row r="53" spans="1:30" s="18" customFormat="1">
      <c r="A53" s="324"/>
      <c r="B53" s="253"/>
      <c r="C53" s="141" t="s">
        <v>94</v>
      </c>
      <c r="D53" s="218"/>
      <c r="E53" s="140"/>
      <c r="F53" s="140"/>
      <c r="G53" s="140"/>
      <c r="H53" s="183">
        <v>80</v>
      </c>
      <c r="I53" s="183"/>
      <c r="J53" s="183">
        <v>83</v>
      </c>
      <c r="K53" s="183"/>
      <c r="L53" s="183">
        <v>85</v>
      </c>
      <c r="M53" s="183">
        <v>87</v>
      </c>
      <c r="N53" s="183">
        <v>90</v>
      </c>
      <c r="O53" s="140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</row>
    <row r="54" spans="1:30" s="18" customFormat="1">
      <c r="A54" s="324"/>
      <c r="B54" s="253"/>
      <c r="C54" s="141" t="s">
        <v>95</v>
      </c>
      <c r="D54" s="218"/>
      <c r="E54" s="140"/>
      <c r="F54" s="140"/>
      <c r="G54" s="140"/>
      <c r="H54" s="183">
        <v>80</v>
      </c>
      <c r="I54" s="183"/>
      <c r="J54" s="183">
        <v>80</v>
      </c>
      <c r="K54" s="183"/>
      <c r="L54" s="183">
        <v>80</v>
      </c>
      <c r="M54" s="183">
        <v>82</v>
      </c>
      <c r="N54" s="183">
        <v>90</v>
      </c>
      <c r="O54" s="140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</row>
    <row r="55" spans="1:30" s="18" customFormat="1">
      <c r="A55" s="324"/>
      <c r="B55" s="253"/>
      <c r="C55" s="141" t="s">
        <v>123</v>
      </c>
      <c r="D55" s="218"/>
      <c r="E55" s="140"/>
      <c r="F55" s="140"/>
      <c r="G55" s="140"/>
      <c r="H55" s="183">
        <v>80</v>
      </c>
      <c r="I55" s="183"/>
      <c r="J55" s="183">
        <v>80</v>
      </c>
      <c r="K55" s="183"/>
      <c r="L55" s="183">
        <v>80</v>
      </c>
      <c r="M55" s="183">
        <v>82</v>
      </c>
      <c r="N55" s="183">
        <v>82</v>
      </c>
      <c r="O55" s="140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</row>
    <row r="56" spans="1:30" s="18" customFormat="1">
      <c r="A56" s="324"/>
      <c r="B56" s="253"/>
      <c r="C56" s="141" t="s">
        <v>76</v>
      </c>
      <c r="D56" s="218"/>
      <c r="E56" s="140"/>
      <c r="F56" s="140"/>
      <c r="G56" s="140"/>
      <c r="H56" s="183">
        <v>80</v>
      </c>
      <c r="I56" s="183"/>
      <c r="J56" s="183">
        <v>83</v>
      </c>
      <c r="K56" s="183"/>
      <c r="L56" s="183">
        <v>85</v>
      </c>
      <c r="M56" s="183">
        <v>87</v>
      </c>
      <c r="N56" s="183">
        <v>90</v>
      </c>
      <c r="O56" s="140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</row>
    <row r="57" spans="1:30" s="18" customFormat="1">
      <c r="A57" s="324"/>
      <c r="B57" s="253"/>
      <c r="C57" s="141" t="s">
        <v>79</v>
      </c>
      <c r="D57" s="218"/>
      <c r="E57" s="140"/>
      <c r="F57" s="140"/>
      <c r="G57" s="140"/>
      <c r="H57" s="188">
        <v>80</v>
      </c>
      <c r="I57" s="188"/>
      <c r="J57" s="188">
        <v>80</v>
      </c>
      <c r="K57" s="188"/>
      <c r="L57" s="188">
        <v>83</v>
      </c>
      <c r="M57" s="188">
        <v>83</v>
      </c>
      <c r="N57" s="188">
        <v>85</v>
      </c>
      <c r="O57" s="140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</row>
    <row r="58" spans="1:30" s="18" customFormat="1">
      <c r="A58" s="324"/>
      <c r="B58" s="253"/>
      <c r="C58" s="141" t="s">
        <v>58</v>
      </c>
      <c r="D58" s="218"/>
      <c r="E58" s="140"/>
      <c r="F58" s="140"/>
      <c r="G58" s="140"/>
      <c r="H58" s="183">
        <v>80</v>
      </c>
      <c r="I58" s="183"/>
      <c r="J58" s="183">
        <v>83</v>
      </c>
      <c r="K58" s="183"/>
      <c r="L58" s="183">
        <v>85</v>
      </c>
      <c r="M58" s="183">
        <v>85</v>
      </c>
      <c r="N58" s="183">
        <v>85</v>
      </c>
      <c r="O58" s="140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</row>
    <row r="59" spans="1:30" s="18" customFormat="1">
      <c r="A59" s="324"/>
      <c r="B59" s="253"/>
      <c r="C59" s="141" t="s">
        <v>21</v>
      </c>
      <c r="D59" s="218"/>
      <c r="E59" s="140"/>
      <c r="F59" s="140"/>
      <c r="G59" s="140"/>
      <c r="H59" s="183">
        <v>80</v>
      </c>
      <c r="I59" s="183"/>
      <c r="J59" s="183">
        <v>80</v>
      </c>
      <c r="K59" s="183"/>
      <c r="L59" s="183">
        <v>80</v>
      </c>
      <c r="M59" s="183">
        <v>82</v>
      </c>
      <c r="N59" s="183">
        <v>82</v>
      </c>
      <c r="O59" s="140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</row>
    <row r="60" spans="1:30" s="18" customFormat="1">
      <c r="A60" s="324"/>
      <c r="B60" s="253"/>
      <c r="C60" s="141" t="s">
        <v>24</v>
      </c>
      <c r="D60" s="218"/>
      <c r="E60" s="140"/>
      <c r="F60" s="140"/>
      <c r="G60" s="140"/>
      <c r="H60" s="183">
        <v>80</v>
      </c>
      <c r="I60" s="183"/>
      <c r="J60" s="183">
        <v>82</v>
      </c>
      <c r="K60" s="183"/>
      <c r="L60" s="183">
        <v>83</v>
      </c>
      <c r="M60" s="183">
        <v>84</v>
      </c>
      <c r="N60" s="183">
        <v>85</v>
      </c>
      <c r="O60" s="140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</row>
    <row r="61" spans="1:30" s="18" customFormat="1">
      <c r="A61" s="324"/>
      <c r="B61" s="253"/>
      <c r="C61" s="141" t="s">
        <v>50</v>
      </c>
      <c r="D61" s="218"/>
      <c r="E61" s="140"/>
      <c r="F61" s="140"/>
      <c r="G61" s="140"/>
      <c r="H61" s="183" t="s">
        <v>22</v>
      </c>
      <c r="I61" s="183"/>
      <c r="J61" s="183" t="s">
        <v>22</v>
      </c>
      <c r="K61" s="183"/>
      <c r="L61" s="183">
        <v>80</v>
      </c>
      <c r="M61" s="183">
        <v>82</v>
      </c>
      <c r="N61" s="183">
        <v>82</v>
      </c>
      <c r="O61" s="140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</row>
    <row r="62" spans="1:30" s="18" customFormat="1" ht="24.75" thickBot="1">
      <c r="A62" s="324"/>
      <c r="B62" s="254"/>
      <c r="C62" s="145" t="s">
        <v>14</v>
      </c>
      <c r="D62" s="278"/>
      <c r="E62" s="146"/>
      <c r="F62" s="146"/>
      <c r="G62" s="146"/>
      <c r="H62" s="189" t="s">
        <v>22</v>
      </c>
      <c r="I62" s="189"/>
      <c r="J62" s="189">
        <v>80</v>
      </c>
      <c r="K62" s="189"/>
      <c r="L62" s="189">
        <v>80</v>
      </c>
      <c r="M62" s="189">
        <v>82</v>
      </c>
      <c r="N62" s="189">
        <v>82</v>
      </c>
      <c r="O62" s="146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</row>
    <row r="63" spans="1:30" s="18" customFormat="1" ht="144.75" hidden="1" customHeight="1" thickBot="1">
      <c r="A63" s="324"/>
      <c r="B63" s="253"/>
      <c r="C63" s="140" t="s">
        <v>404</v>
      </c>
      <c r="D63" s="190" t="s">
        <v>402</v>
      </c>
      <c r="E63" s="140"/>
      <c r="F63" s="140"/>
      <c r="G63" s="140"/>
      <c r="H63" s="182">
        <v>5</v>
      </c>
      <c r="I63" s="182"/>
      <c r="J63" s="182">
        <v>5</v>
      </c>
      <c r="K63" s="182"/>
      <c r="L63" s="182">
        <v>5</v>
      </c>
      <c r="M63" s="182">
        <v>5</v>
      </c>
      <c r="N63" s="182">
        <v>5</v>
      </c>
      <c r="O63" s="274" t="s">
        <v>401</v>
      </c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</row>
    <row r="64" spans="1:30" s="18" customFormat="1" ht="24.75" hidden="1" customHeight="1" thickBot="1">
      <c r="A64" s="324"/>
      <c r="B64" s="253"/>
      <c r="C64" s="141" t="s">
        <v>110</v>
      </c>
      <c r="D64" s="218"/>
      <c r="E64" s="140"/>
      <c r="F64" s="140"/>
      <c r="G64" s="140"/>
      <c r="H64" s="187">
        <v>0</v>
      </c>
      <c r="I64" s="187"/>
      <c r="J64" s="187">
        <v>0</v>
      </c>
      <c r="K64" s="187"/>
      <c r="L64" s="187">
        <v>0</v>
      </c>
      <c r="M64" s="187">
        <v>0</v>
      </c>
      <c r="N64" s="187">
        <v>0</v>
      </c>
      <c r="O64" s="275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</row>
    <row r="65" spans="1:30" s="18" customFormat="1" ht="24.75" hidden="1" customHeight="1" thickBot="1">
      <c r="A65" s="324"/>
      <c r="B65" s="253"/>
      <c r="C65" s="141" t="s">
        <v>56</v>
      </c>
      <c r="D65" s="218"/>
      <c r="E65" s="140"/>
      <c r="F65" s="140"/>
      <c r="G65" s="140"/>
      <c r="H65" s="187">
        <v>0</v>
      </c>
      <c r="I65" s="187"/>
      <c r="J65" s="187">
        <v>0</v>
      </c>
      <c r="K65" s="187"/>
      <c r="L65" s="187">
        <v>0</v>
      </c>
      <c r="M65" s="187">
        <v>0</v>
      </c>
      <c r="N65" s="187">
        <v>0</v>
      </c>
      <c r="O65" s="275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</row>
    <row r="66" spans="1:30" s="18" customFormat="1" ht="24.75" hidden="1" customHeight="1" thickBot="1">
      <c r="A66" s="324"/>
      <c r="B66" s="253"/>
      <c r="C66" s="141" t="s">
        <v>94</v>
      </c>
      <c r="D66" s="218"/>
      <c r="E66" s="140"/>
      <c r="F66" s="140"/>
      <c r="G66" s="140"/>
      <c r="H66" s="187">
        <v>0</v>
      </c>
      <c r="I66" s="187"/>
      <c r="J66" s="187">
        <v>0</v>
      </c>
      <c r="K66" s="187"/>
      <c r="L66" s="187">
        <v>0</v>
      </c>
      <c r="M66" s="187">
        <v>0</v>
      </c>
      <c r="N66" s="187">
        <v>0</v>
      </c>
      <c r="O66" s="275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</row>
    <row r="67" spans="1:30" s="18" customFormat="1" ht="24.75" hidden="1" customHeight="1" thickBot="1">
      <c r="A67" s="324"/>
      <c r="B67" s="253"/>
      <c r="C67" s="141" t="s">
        <v>95</v>
      </c>
      <c r="D67" s="218"/>
      <c r="E67" s="140"/>
      <c r="F67" s="140"/>
      <c r="G67" s="140"/>
      <c r="H67" s="187">
        <v>0</v>
      </c>
      <c r="I67" s="187"/>
      <c r="J67" s="187">
        <v>0</v>
      </c>
      <c r="K67" s="187"/>
      <c r="L67" s="187">
        <v>0</v>
      </c>
      <c r="M67" s="187">
        <v>0</v>
      </c>
      <c r="N67" s="187">
        <v>0</v>
      </c>
      <c r="O67" s="275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</row>
    <row r="68" spans="1:30" s="18" customFormat="1" ht="24.75" hidden="1" customHeight="1" thickBot="1">
      <c r="A68" s="324"/>
      <c r="B68" s="253"/>
      <c r="C68" s="141" t="s">
        <v>21</v>
      </c>
      <c r="D68" s="218"/>
      <c r="E68" s="140"/>
      <c r="F68" s="140"/>
      <c r="G68" s="140"/>
      <c r="H68" s="187">
        <v>0</v>
      </c>
      <c r="I68" s="187"/>
      <c r="J68" s="187">
        <v>0</v>
      </c>
      <c r="K68" s="187"/>
      <c r="L68" s="187">
        <v>0</v>
      </c>
      <c r="M68" s="187">
        <v>0</v>
      </c>
      <c r="N68" s="187">
        <v>0</v>
      </c>
      <c r="O68" s="275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</row>
    <row r="69" spans="1:30" s="18" customFormat="1" ht="24.75" hidden="1" customHeight="1" thickBot="1">
      <c r="A69" s="324"/>
      <c r="B69" s="253"/>
      <c r="C69" s="141" t="s">
        <v>24</v>
      </c>
      <c r="D69" s="218"/>
      <c r="E69" s="140"/>
      <c r="F69" s="140"/>
      <c r="G69" s="140"/>
      <c r="H69" s="187">
        <v>0</v>
      </c>
      <c r="I69" s="187"/>
      <c r="J69" s="187">
        <v>0</v>
      </c>
      <c r="K69" s="187"/>
      <c r="L69" s="187">
        <v>0</v>
      </c>
      <c r="M69" s="187">
        <v>0</v>
      </c>
      <c r="N69" s="187">
        <v>0</v>
      </c>
      <c r="O69" s="275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</row>
    <row r="70" spans="1:30" s="18" customFormat="1" ht="24.75" hidden="1" customHeight="1" thickBot="1">
      <c r="A70" s="324"/>
      <c r="B70" s="253"/>
      <c r="C70" s="141" t="s">
        <v>50</v>
      </c>
      <c r="D70" s="218"/>
      <c r="E70" s="140"/>
      <c r="F70" s="140"/>
      <c r="G70" s="140"/>
      <c r="H70" s="187">
        <v>0</v>
      </c>
      <c r="I70" s="187"/>
      <c r="J70" s="187">
        <v>0</v>
      </c>
      <c r="K70" s="187"/>
      <c r="L70" s="187">
        <v>0</v>
      </c>
      <c r="M70" s="187">
        <v>0</v>
      </c>
      <c r="N70" s="187">
        <v>0</v>
      </c>
      <c r="O70" s="275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</row>
    <row r="71" spans="1:30" s="18" customFormat="1" ht="24.75" hidden="1" customHeight="1" thickBot="1">
      <c r="A71" s="324"/>
      <c r="B71" s="253"/>
      <c r="C71" s="141" t="s">
        <v>79</v>
      </c>
      <c r="D71" s="218"/>
      <c r="E71" s="140"/>
      <c r="F71" s="140"/>
      <c r="G71" s="140"/>
      <c r="H71" s="187">
        <v>0</v>
      </c>
      <c r="I71" s="187"/>
      <c r="J71" s="187">
        <v>0</v>
      </c>
      <c r="K71" s="187"/>
      <c r="L71" s="187">
        <v>0</v>
      </c>
      <c r="M71" s="187">
        <v>0</v>
      </c>
      <c r="N71" s="187">
        <v>0</v>
      </c>
      <c r="O71" s="276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</row>
    <row r="72" spans="1:30" s="18" customFormat="1" ht="24.75" hidden="1" customHeight="1" thickBot="1">
      <c r="A72" s="324"/>
      <c r="B72" s="253"/>
      <c r="C72" s="141" t="s">
        <v>58</v>
      </c>
      <c r="D72" s="218"/>
      <c r="E72" s="140"/>
      <c r="F72" s="140"/>
      <c r="G72" s="140"/>
      <c r="H72" s="187">
        <v>0</v>
      </c>
      <c r="I72" s="187"/>
      <c r="J72" s="187">
        <v>0</v>
      </c>
      <c r="K72" s="187"/>
      <c r="L72" s="187">
        <v>0</v>
      </c>
      <c r="M72" s="187">
        <v>0</v>
      </c>
      <c r="N72" s="187">
        <v>0</v>
      </c>
      <c r="O72" s="140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</row>
    <row r="73" spans="1:30" s="18" customFormat="1" ht="24.75" hidden="1" customHeight="1" thickBot="1">
      <c r="A73" s="324"/>
      <c r="B73" s="253"/>
      <c r="C73" s="141" t="s">
        <v>76</v>
      </c>
      <c r="D73" s="218"/>
      <c r="E73" s="140"/>
      <c r="F73" s="140"/>
      <c r="G73" s="140"/>
      <c r="H73" s="187">
        <v>0</v>
      </c>
      <c r="I73" s="187"/>
      <c r="J73" s="187">
        <v>0</v>
      </c>
      <c r="K73" s="187"/>
      <c r="L73" s="187">
        <v>0</v>
      </c>
      <c r="M73" s="187">
        <v>0</v>
      </c>
      <c r="N73" s="187">
        <v>0</v>
      </c>
      <c r="O73" s="140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</row>
    <row r="74" spans="1:30" s="18" customFormat="1" ht="24.75" hidden="1" customHeight="1" thickBot="1">
      <c r="A74" s="324"/>
      <c r="B74" s="253"/>
      <c r="C74" s="141" t="s">
        <v>123</v>
      </c>
      <c r="D74" s="218"/>
      <c r="E74" s="140"/>
      <c r="F74" s="140"/>
      <c r="G74" s="140"/>
      <c r="H74" s="187">
        <v>0</v>
      </c>
      <c r="I74" s="187"/>
      <c r="J74" s="187">
        <v>0</v>
      </c>
      <c r="K74" s="187"/>
      <c r="L74" s="187">
        <v>0</v>
      </c>
      <c r="M74" s="187">
        <v>0</v>
      </c>
      <c r="N74" s="187">
        <v>0</v>
      </c>
      <c r="O74" s="140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</row>
    <row r="75" spans="1:30" s="18" customFormat="1" ht="24.75" hidden="1" customHeight="1" thickBot="1">
      <c r="A75" s="324"/>
      <c r="B75" s="254"/>
      <c r="C75" s="145" t="s">
        <v>14</v>
      </c>
      <c r="D75" s="279"/>
      <c r="E75" s="150"/>
      <c r="F75" s="150"/>
      <c r="G75" s="150"/>
      <c r="H75" s="222">
        <v>0</v>
      </c>
      <c r="I75" s="222"/>
      <c r="J75" s="222">
        <v>0</v>
      </c>
      <c r="K75" s="222"/>
      <c r="L75" s="222">
        <v>0</v>
      </c>
      <c r="M75" s="222">
        <v>0</v>
      </c>
      <c r="N75" s="222">
        <v>0</v>
      </c>
      <c r="O75" s="146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</row>
    <row r="76" spans="1:30" s="18" customFormat="1" ht="144.75" hidden="1" customHeight="1" thickBot="1">
      <c r="A76" s="324"/>
      <c r="B76" s="253"/>
      <c r="C76" s="140" t="s">
        <v>405</v>
      </c>
      <c r="D76" s="190" t="s">
        <v>402</v>
      </c>
      <c r="E76" s="140"/>
      <c r="F76" s="140"/>
      <c r="G76" s="140"/>
      <c r="H76" s="182">
        <v>5</v>
      </c>
      <c r="I76" s="182"/>
      <c r="J76" s="182">
        <v>5</v>
      </c>
      <c r="K76" s="182"/>
      <c r="L76" s="182">
        <v>5</v>
      </c>
      <c r="M76" s="182">
        <v>5</v>
      </c>
      <c r="N76" s="182">
        <v>5</v>
      </c>
      <c r="O76" s="274" t="s">
        <v>403</v>
      </c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</row>
    <row r="77" spans="1:30" s="18" customFormat="1" ht="24.75" hidden="1" customHeight="1" thickBot="1">
      <c r="A77" s="324"/>
      <c r="B77" s="253"/>
      <c r="C77" s="141" t="s">
        <v>110</v>
      </c>
      <c r="D77" s="218"/>
      <c r="E77" s="140"/>
      <c r="F77" s="140"/>
      <c r="G77" s="140"/>
      <c r="H77" s="187">
        <v>5</v>
      </c>
      <c r="I77" s="187"/>
      <c r="J77" s="187">
        <v>5</v>
      </c>
      <c r="K77" s="187"/>
      <c r="L77" s="187">
        <v>5</v>
      </c>
      <c r="M77" s="187">
        <v>5</v>
      </c>
      <c r="N77" s="187">
        <v>5</v>
      </c>
      <c r="O77" s="275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</row>
    <row r="78" spans="1:30" s="18" customFormat="1" ht="24.75" hidden="1" customHeight="1" thickBot="1">
      <c r="A78" s="324"/>
      <c r="B78" s="253"/>
      <c r="C78" s="141" t="s">
        <v>56</v>
      </c>
      <c r="D78" s="218"/>
      <c r="E78" s="140"/>
      <c r="F78" s="140"/>
      <c r="G78" s="140"/>
      <c r="H78" s="187">
        <v>5</v>
      </c>
      <c r="I78" s="187"/>
      <c r="J78" s="187">
        <v>5</v>
      </c>
      <c r="K78" s="187"/>
      <c r="L78" s="187">
        <v>5</v>
      </c>
      <c r="M78" s="187">
        <v>5</v>
      </c>
      <c r="N78" s="187">
        <v>5</v>
      </c>
      <c r="O78" s="275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</row>
    <row r="79" spans="1:30" s="18" customFormat="1" ht="24.75" hidden="1" customHeight="1" thickBot="1">
      <c r="A79" s="324"/>
      <c r="B79" s="253"/>
      <c r="C79" s="141" t="s">
        <v>94</v>
      </c>
      <c r="D79" s="218"/>
      <c r="E79" s="140"/>
      <c r="F79" s="140"/>
      <c r="G79" s="140"/>
      <c r="H79" s="187">
        <v>5</v>
      </c>
      <c r="I79" s="187"/>
      <c r="J79" s="187">
        <v>5</v>
      </c>
      <c r="K79" s="187"/>
      <c r="L79" s="187">
        <v>5</v>
      </c>
      <c r="M79" s="187">
        <v>5</v>
      </c>
      <c r="N79" s="187">
        <v>5</v>
      </c>
      <c r="O79" s="275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4"/>
    </row>
    <row r="80" spans="1:30" s="18" customFormat="1" ht="24.75" hidden="1" customHeight="1" thickBot="1">
      <c r="A80" s="324"/>
      <c r="B80" s="253"/>
      <c r="C80" s="141" t="s">
        <v>95</v>
      </c>
      <c r="D80" s="218"/>
      <c r="E80" s="140"/>
      <c r="F80" s="140"/>
      <c r="G80" s="140"/>
      <c r="H80" s="187">
        <v>5</v>
      </c>
      <c r="I80" s="187"/>
      <c r="J80" s="187">
        <v>5</v>
      </c>
      <c r="K80" s="187"/>
      <c r="L80" s="187">
        <v>5</v>
      </c>
      <c r="M80" s="187">
        <v>5</v>
      </c>
      <c r="N80" s="187">
        <v>5</v>
      </c>
      <c r="O80" s="275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</row>
    <row r="81" spans="1:30" s="18" customFormat="1" ht="24.75" hidden="1" customHeight="1" thickBot="1">
      <c r="A81" s="324"/>
      <c r="B81" s="253"/>
      <c r="C81" s="141" t="s">
        <v>21</v>
      </c>
      <c r="D81" s="218"/>
      <c r="E81" s="140"/>
      <c r="F81" s="140"/>
      <c r="G81" s="140"/>
      <c r="H81" s="187">
        <v>5</v>
      </c>
      <c r="I81" s="187"/>
      <c r="J81" s="187">
        <v>5</v>
      </c>
      <c r="K81" s="187"/>
      <c r="L81" s="187">
        <v>5</v>
      </c>
      <c r="M81" s="187">
        <v>5</v>
      </c>
      <c r="N81" s="187">
        <v>5</v>
      </c>
      <c r="O81" s="275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</row>
    <row r="82" spans="1:30" s="18" customFormat="1" ht="24.75" hidden="1" customHeight="1" thickBot="1">
      <c r="A82" s="324"/>
      <c r="B82" s="253"/>
      <c r="C82" s="141" t="s">
        <v>24</v>
      </c>
      <c r="D82" s="218"/>
      <c r="E82" s="140"/>
      <c r="F82" s="140"/>
      <c r="G82" s="140"/>
      <c r="H82" s="187">
        <v>5</v>
      </c>
      <c r="I82" s="187"/>
      <c r="J82" s="187">
        <v>5</v>
      </c>
      <c r="K82" s="187"/>
      <c r="L82" s="187">
        <v>5</v>
      </c>
      <c r="M82" s="187">
        <v>5</v>
      </c>
      <c r="N82" s="187">
        <v>5</v>
      </c>
      <c r="O82" s="275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</row>
    <row r="83" spans="1:30" s="18" customFormat="1" ht="24.75" hidden="1" customHeight="1" thickBot="1">
      <c r="A83" s="324"/>
      <c r="B83" s="253"/>
      <c r="C83" s="141" t="s">
        <v>50</v>
      </c>
      <c r="D83" s="218"/>
      <c r="E83" s="140"/>
      <c r="F83" s="140"/>
      <c r="G83" s="140"/>
      <c r="H83" s="187">
        <v>5</v>
      </c>
      <c r="I83" s="187"/>
      <c r="J83" s="187">
        <v>5</v>
      </c>
      <c r="K83" s="187"/>
      <c r="L83" s="187">
        <v>5</v>
      </c>
      <c r="M83" s="187">
        <v>5</v>
      </c>
      <c r="N83" s="187">
        <v>5</v>
      </c>
      <c r="O83" s="275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  <c r="AD83" s="144"/>
    </row>
    <row r="84" spans="1:30" s="18" customFormat="1" ht="24.75" hidden="1" customHeight="1" thickBot="1">
      <c r="A84" s="324"/>
      <c r="B84" s="253"/>
      <c r="C84" s="141" t="s">
        <v>79</v>
      </c>
      <c r="D84" s="218"/>
      <c r="E84" s="140"/>
      <c r="F84" s="140"/>
      <c r="G84" s="140"/>
      <c r="H84" s="187">
        <v>5</v>
      </c>
      <c r="I84" s="187"/>
      <c r="J84" s="187">
        <v>5</v>
      </c>
      <c r="K84" s="187"/>
      <c r="L84" s="187">
        <v>5</v>
      </c>
      <c r="M84" s="187">
        <v>5</v>
      </c>
      <c r="N84" s="187">
        <v>5</v>
      </c>
      <c r="O84" s="276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4"/>
    </row>
    <row r="85" spans="1:30" s="18" customFormat="1" ht="24.75" hidden="1" customHeight="1" thickBot="1">
      <c r="A85" s="324"/>
      <c r="B85" s="253"/>
      <c r="C85" s="141" t="s">
        <v>58</v>
      </c>
      <c r="D85" s="218"/>
      <c r="E85" s="140"/>
      <c r="F85" s="140"/>
      <c r="G85" s="140"/>
      <c r="H85" s="187">
        <v>5</v>
      </c>
      <c r="I85" s="187"/>
      <c r="J85" s="187">
        <v>5</v>
      </c>
      <c r="K85" s="187"/>
      <c r="L85" s="187">
        <v>5</v>
      </c>
      <c r="M85" s="187">
        <v>5</v>
      </c>
      <c r="N85" s="187">
        <v>5</v>
      </c>
      <c r="O85" s="140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</row>
    <row r="86" spans="1:30" s="18" customFormat="1" ht="24.75" hidden="1" customHeight="1" thickBot="1">
      <c r="A86" s="324"/>
      <c r="B86" s="253"/>
      <c r="C86" s="141" t="s">
        <v>76</v>
      </c>
      <c r="D86" s="218"/>
      <c r="E86" s="140"/>
      <c r="F86" s="140"/>
      <c r="G86" s="140"/>
      <c r="H86" s="187">
        <v>5</v>
      </c>
      <c r="I86" s="187"/>
      <c r="J86" s="187">
        <v>5</v>
      </c>
      <c r="K86" s="187"/>
      <c r="L86" s="187">
        <v>5</v>
      </c>
      <c r="M86" s="187">
        <v>5</v>
      </c>
      <c r="N86" s="187">
        <v>5</v>
      </c>
      <c r="O86" s="140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</row>
    <row r="87" spans="1:30" s="18" customFormat="1" ht="24.75" hidden="1" customHeight="1" thickBot="1">
      <c r="A87" s="324"/>
      <c r="B87" s="253"/>
      <c r="C87" s="141" t="s">
        <v>123</v>
      </c>
      <c r="D87" s="218"/>
      <c r="E87" s="140"/>
      <c r="F87" s="140"/>
      <c r="G87" s="140"/>
      <c r="H87" s="187">
        <v>5</v>
      </c>
      <c r="I87" s="187"/>
      <c r="J87" s="187">
        <v>5</v>
      </c>
      <c r="K87" s="187"/>
      <c r="L87" s="187">
        <v>5</v>
      </c>
      <c r="M87" s="187">
        <v>5</v>
      </c>
      <c r="N87" s="187">
        <v>5</v>
      </c>
      <c r="O87" s="140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</row>
    <row r="88" spans="1:30" s="18" customFormat="1" ht="24.75" hidden="1" customHeight="1" thickBot="1">
      <c r="A88" s="325"/>
      <c r="B88" s="254"/>
      <c r="C88" s="145" t="s">
        <v>14</v>
      </c>
      <c r="D88" s="278"/>
      <c r="E88" s="146"/>
      <c r="F88" s="146"/>
      <c r="G88" s="146"/>
      <c r="H88" s="222">
        <v>5</v>
      </c>
      <c r="I88" s="222"/>
      <c r="J88" s="222">
        <v>5</v>
      </c>
      <c r="K88" s="222"/>
      <c r="L88" s="222">
        <v>5</v>
      </c>
      <c r="M88" s="222">
        <v>5</v>
      </c>
      <c r="N88" s="222">
        <v>5</v>
      </c>
      <c r="O88" s="146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</row>
    <row r="89" spans="1:30" s="18" customFormat="1" ht="70.5" customHeight="1">
      <c r="A89" s="317" t="s">
        <v>11</v>
      </c>
      <c r="B89" s="251" t="s">
        <v>120</v>
      </c>
      <c r="C89" s="296" t="s">
        <v>363</v>
      </c>
      <c r="D89" s="297" t="s">
        <v>402</v>
      </c>
      <c r="E89" s="296"/>
      <c r="F89" s="296"/>
      <c r="G89" s="296"/>
      <c r="H89" s="298">
        <v>3.51</v>
      </c>
      <c r="I89" s="298">
        <v>4.3527272727272726</v>
      </c>
      <c r="J89" s="298">
        <v>3.75</v>
      </c>
      <c r="K89" s="298"/>
      <c r="L89" s="298"/>
      <c r="M89" s="298"/>
      <c r="N89" s="298"/>
      <c r="O89" s="140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</row>
    <row r="90" spans="1:30" s="18" customFormat="1">
      <c r="A90" s="315"/>
      <c r="B90" s="252"/>
      <c r="C90" s="141" t="s">
        <v>110</v>
      </c>
      <c r="D90" s="218"/>
      <c r="E90" s="140"/>
      <c r="F90" s="140"/>
      <c r="G90" s="140"/>
      <c r="H90" s="183">
        <v>3.6</v>
      </c>
      <c r="I90" s="183"/>
      <c r="J90" s="183">
        <v>3.75</v>
      </c>
      <c r="K90" s="183"/>
      <c r="L90" s="183">
        <v>3.75</v>
      </c>
      <c r="M90" s="183">
        <v>4</v>
      </c>
      <c r="N90" s="183">
        <v>4</v>
      </c>
      <c r="O90" s="140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</row>
    <row r="91" spans="1:30" s="18" customFormat="1">
      <c r="A91" s="315"/>
      <c r="B91" s="252"/>
      <c r="C91" s="141" t="s">
        <v>56</v>
      </c>
      <c r="D91" s="218"/>
      <c r="E91" s="140"/>
      <c r="F91" s="140"/>
      <c r="G91" s="140"/>
      <c r="H91" s="183">
        <v>3.51</v>
      </c>
      <c r="I91" s="183"/>
      <c r="J91" s="183">
        <v>3.75</v>
      </c>
      <c r="K91" s="183"/>
      <c r="L91" s="183">
        <v>3.75</v>
      </c>
      <c r="M91" s="183">
        <v>4</v>
      </c>
      <c r="N91" s="183">
        <v>4</v>
      </c>
      <c r="O91" s="140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  <c r="AC91" s="144"/>
      <c r="AD91" s="144"/>
    </row>
    <row r="92" spans="1:30" s="18" customFormat="1">
      <c r="A92" s="315"/>
      <c r="B92" s="252"/>
      <c r="C92" s="141" t="s">
        <v>94</v>
      </c>
      <c r="D92" s="218"/>
      <c r="E92" s="140"/>
      <c r="F92" s="140"/>
      <c r="G92" s="140"/>
      <c r="H92" s="183">
        <v>4.5</v>
      </c>
      <c r="I92" s="183"/>
      <c r="J92" s="183">
        <v>4.5</v>
      </c>
      <c r="K92" s="183"/>
      <c r="L92" s="183">
        <v>4.5</v>
      </c>
      <c r="M92" s="183">
        <v>4.5</v>
      </c>
      <c r="N92" s="183">
        <v>4.5</v>
      </c>
      <c r="O92" s="140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  <c r="AA92" s="144"/>
      <c r="AB92" s="144"/>
      <c r="AC92" s="144"/>
      <c r="AD92" s="144"/>
    </row>
    <row r="93" spans="1:30" s="18" customFormat="1">
      <c r="A93" s="315"/>
      <c r="B93" s="252"/>
      <c r="C93" s="141" t="s">
        <v>95</v>
      </c>
      <c r="D93" s="218"/>
      <c r="E93" s="140"/>
      <c r="F93" s="140"/>
      <c r="G93" s="140"/>
      <c r="H93" s="183">
        <v>4</v>
      </c>
      <c r="I93" s="183"/>
      <c r="J93" s="183">
        <v>4.2</v>
      </c>
      <c r="K93" s="183"/>
      <c r="L93" s="183">
        <v>4.4000000000000004</v>
      </c>
      <c r="M93" s="183">
        <v>4.6000000000000005</v>
      </c>
      <c r="N93" s="183">
        <v>4.8000000000000007</v>
      </c>
      <c r="O93" s="140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  <c r="AA93" s="144"/>
      <c r="AB93" s="144"/>
      <c r="AC93" s="144"/>
      <c r="AD93" s="144"/>
    </row>
    <row r="94" spans="1:30" s="18" customFormat="1">
      <c r="A94" s="315"/>
      <c r="B94" s="252"/>
      <c r="C94" s="141" t="s">
        <v>123</v>
      </c>
      <c r="D94" s="218"/>
      <c r="E94" s="140"/>
      <c r="F94" s="140"/>
      <c r="G94" s="140"/>
      <c r="H94" s="183">
        <v>3.51</v>
      </c>
      <c r="I94" s="183"/>
      <c r="J94" s="183">
        <v>3.75</v>
      </c>
      <c r="K94" s="183"/>
      <c r="L94" s="183">
        <v>3.75</v>
      </c>
      <c r="M94" s="183">
        <v>4</v>
      </c>
      <c r="N94" s="183">
        <v>4</v>
      </c>
      <c r="O94" s="140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4"/>
    </row>
    <row r="95" spans="1:30" s="18" customFormat="1">
      <c r="A95" s="315"/>
      <c r="B95" s="252"/>
      <c r="C95" s="141" t="s">
        <v>76</v>
      </c>
      <c r="D95" s="218"/>
      <c r="E95" s="140"/>
      <c r="F95" s="140"/>
      <c r="G95" s="140"/>
      <c r="H95" s="183">
        <v>3.51</v>
      </c>
      <c r="I95" s="183"/>
      <c r="J95" s="183">
        <v>3.75</v>
      </c>
      <c r="K95" s="183"/>
      <c r="L95" s="183">
        <v>3.75</v>
      </c>
      <c r="M95" s="183">
        <v>4</v>
      </c>
      <c r="N95" s="183">
        <v>4</v>
      </c>
      <c r="O95" s="140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</row>
    <row r="96" spans="1:30" s="18" customFormat="1">
      <c r="A96" s="315"/>
      <c r="B96" s="252"/>
      <c r="C96" s="141" t="s">
        <v>79</v>
      </c>
      <c r="D96" s="218"/>
      <c r="E96" s="140"/>
      <c r="F96" s="140"/>
      <c r="G96" s="140"/>
      <c r="H96" s="188">
        <v>3.51</v>
      </c>
      <c r="I96" s="188"/>
      <c r="J96" s="188">
        <v>3.75</v>
      </c>
      <c r="K96" s="188"/>
      <c r="L96" s="188">
        <v>3.75</v>
      </c>
      <c r="M96" s="188">
        <v>4</v>
      </c>
      <c r="N96" s="188">
        <v>4</v>
      </c>
      <c r="O96" s="140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</row>
    <row r="97" spans="1:30" s="18" customFormat="1">
      <c r="A97" s="315"/>
      <c r="B97" s="252"/>
      <c r="C97" s="141" t="s">
        <v>58</v>
      </c>
      <c r="D97" s="218"/>
      <c r="E97" s="140"/>
      <c r="F97" s="140"/>
      <c r="G97" s="140"/>
      <c r="H97" s="183">
        <v>3.51</v>
      </c>
      <c r="I97" s="183"/>
      <c r="J97" s="183">
        <v>3.75</v>
      </c>
      <c r="K97" s="183"/>
      <c r="L97" s="183">
        <v>3.75</v>
      </c>
      <c r="M97" s="183">
        <v>4</v>
      </c>
      <c r="N97" s="183">
        <v>4</v>
      </c>
      <c r="O97" s="140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  <c r="AA97" s="144"/>
      <c r="AB97" s="144"/>
      <c r="AC97" s="144"/>
      <c r="AD97" s="144"/>
    </row>
    <row r="98" spans="1:30" s="18" customFormat="1">
      <c r="A98" s="315"/>
      <c r="B98" s="252"/>
      <c r="C98" s="141" t="s">
        <v>21</v>
      </c>
      <c r="D98" s="218"/>
      <c r="E98" s="140"/>
      <c r="F98" s="140"/>
      <c r="G98" s="140"/>
      <c r="H98" s="183">
        <v>4</v>
      </c>
      <c r="I98" s="183"/>
      <c r="J98" s="183">
        <v>4</v>
      </c>
      <c r="K98" s="183"/>
      <c r="L98" s="183">
        <v>4</v>
      </c>
      <c r="M98" s="183">
        <v>4</v>
      </c>
      <c r="N98" s="183">
        <v>4</v>
      </c>
      <c r="O98" s="140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  <c r="AA98" s="144"/>
      <c r="AB98" s="144"/>
      <c r="AC98" s="144"/>
      <c r="AD98" s="144"/>
    </row>
    <row r="99" spans="1:30" s="18" customFormat="1">
      <c r="A99" s="315"/>
      <c r="B99" s="252"/>
      <c r="C99" s="141" t="s">
        <v>24</v>
      </c>
      <c r="D99" s="218"/>
      <c r="E99" s="140"/>
      <c r="F99" s="140"/>
      <c r="G99" s="140"/>
      <c r="H99" s="183">
        <v>3.51</v>
      </c>
      <c r="I99" s="183"/>
      <c r="J99" s="183">
        <v>3.75</v>
      </c>
      <c r="K99" s="183"/>
      <c r="L99" s="183">
        <v>3.75</v>
      </c>
      <c r="M99" s="183">
        <v>4</v>
      </c>
      <c r="N99" s="183">
        <v>4</v>
      </c>
      <c r="O99" s="140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  <c r="AA99" s="144"/>
      <c r="AB99" s="144"/>
      <c r="AC99" s="144"/>
      <c r="AD99" s="144"/>
    </row>
    <row r="100" spans="1:30" s="18" customFormat="1">
      <c r="A100" s="315"/>
      <c r="B100" s="252"/>
      <c r="C100" s="141" t="s">
        <v>50</v>
      </c>
      <c r="D100" s="218"/>
      <c r="E100" s="140"/>
      <c r="F100" s="140"/>
      <c r="G100" s="140"/>
      <c r="H100" s="183">
        <v>3.51</v>
      </c>
      <c r="I100" s="183"/>
      <c r="J100" s="183">
        <v>4</v>
      </c>
      <c r="K100" s="183"/>
      <c r="L100" s="183">
        <v>4</v>
      </c>
      <c r="M100" s="183">
        <v>4</v>
      </c>
      <c r="N100" s="183">
        <v>4</v>
      </c>
      <c r="O100" s="140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</row>
    <row r="101" spans="1:30" s="18" customFormat="1">
      <c r="A101" s="315"/>
      <c r="B101" s="252"/>
      <c r="C101" s="142" t="s">
        <v>14</v>
      </c>
      <c r="D101" s="277"/>
      <c r="E101" s="143"/>
      <c r="F101" s="143"/>
      <c r="G101" s="143"/>
      <c r="H101" s="184">
        <v>3.8</v>
      </c>
      <c r="I101" s="184"/>
      <c r="J101" s="184">
        <v>3.8</v>
      </c>
      <c r="K101" s="184"/>
      <c r="L101" s="184">
        <v>4</v>
      </c>
      <c r="M101" s="184">
        <v>4</v>
      </c>
      <c r="N101" s="184">
        <v>4.2</v>
      </c>
      <c r="O101" s="143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</row>
    <row r="102" spans="1:30" s="18" customFormat="1" ht="48">
      <c r="A102" s="315"/>
      <c r="B102" s="252"/>
      <c r="C102" s="291" t="s">
        <v>364</v>
      </c>
      <c r="D102" s="261" t="s">
        <v>402</v>
      </c>
      <c r="E102" s="291"/>
      <c r="F102" s="291"/>
      <c r="G102" s="291"/>
      <c r="H102" s="294">
        <v>3</v>
      </c>
      <c r="I102" s="294">
        <v>2.9818181818181815</v>
      </c>
      <c r="J102" s="294">
        <v>3</v>
      </c>
      <c r="K102" s="294"/>
      <c r="L102" s="294"/>
      <c r="M102" s="294"/>
      <c r="N102" s="294"/>
      <c r="O102" s="140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</row>
    <row r="103" spans="1:30" s="18" customFormat="1">
      <c r="A103" s="315"/>
      <c r="B103" s="252"/>
      <c r="C103" s="141" t="s">
        <v>110</v>
      </c>
      <c r="D103" s="218"/>
      <c r="E103" s="140"/>
      <c r="F103" s="140"/>
      <c r="G103" s="140"/>
      <c r="H103" s="183">
        <v>4</v>
      </c>
      <c r="I103" s="183"/>
      <c r="J103" s="183">
        <v>4</v>
      </c>
      <c r="K103" s="183"/>
      <c r="L103" s="183">
        <v>4</v>
      </c>
      <c r="M103" s="183">
        <v>4</v>
      </c>
      <c r="N103" s="183">
        <v>4.2</v>
      </c>
      <c r="O103" s="140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44"/>
      <c r="AC103" s="144"/>
      <c r="AD103" s="144"/>
    </row>
    <row r="104" spans="1:30" s="18" customFormat="1">
      <c r="A104" s="315"/>
      <c r="B104" s="252"/>
      <c r="C104" s="141" t="s">
        <v>56</v>
      </c>
      <c r="D104" s="218"/>
      <c r="E104" s="140"/>
      <c r="F104" s="140"/>
      <c r="G104" s="140"/>
      <c r="H104" s="183">
        <v>3.58</v>
      </c>
      <c r="I104" s="183"/>
      <c r="J104" s="183">
        <v>3.75</v>
      </c>
      <c r="K104" s="183"/>
      <c r="L104" s="183">
        <v>4</v>
      </c>
      <c r="M104" s="183">
        <v>4</v>
      </c>
      <c r="N104" s="183">
        <v>4.2</v>
      </c>
      <c r="O104" s="140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  <c r="AA104" s="144"/>
      <c r="AB104" s="144"/>
      <c r="AC104" s="144"/>
      <c r="AD104" s="144"/>
    </row>
    <row r="105" spans="1:30" s="18" customFormat="1">
      <c r="A105" s="315"/>
      <c r="B105" s="252"/>
      <c r="C105" s="141" t="s">
        <v>94</v>
      </c>
      <c r="D105" s="218"/>
      <c r="E105" s="140"/>
      <c r="F105" s="140"/>
      <c r="G105" s="140"/>
      <c r="H105" s="183">
        <v>5</v>
      </c>
      <c r="I105" s="183"/>
      <c r="J105" s="183">
        <v>5</v>
      </c>
      <c r="K105" s="183"/>
      <c r="L105" s="183">
        <v>5</v>
      </c>
      <c r="M105" s="183">
        <v>5</v>
      </c>
      <c r="N105" s="183">
        <v>5</v>
      </c>
      <c r="O105" s="140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  <c r="AA105" s="144"/>
      <c r="AB105" s="144"/>
      <c r="AC105" s="144"/>
      <c r="AD105" s="144"/>
    </row>
    <row r="106" spans="1:30" s="18" customFormat="1">
      <c r="A106" s="315"/>
      <c r="B106" s="252"/>
      <c r="C106" s="141" t="s">
        <v>95</v>
      </c>
      <c r="D106" s="218"/>
      <c r="E106" s="140"/>
      <c r="F106" s="140"/>
      <c r="G106" s="140"/>
      <c r="H106" s="183">
        <v>3.035714285714286</v>
      </c>
      <c r="I106" s="183"/>
      <c r="J106" s="183">
        <v>3.214285714285714</v>
      </c>
      <c r="K106" s="183"/>
      <c r="L106" s="183">
        <v>3.3</v>
      </c>
      <c r="M106" s="183">
        <v>3.3</v>
      </c>
      <c r="N106" s="183">
        <v>4.2</v>
      </c>
      <c r="O106" s="140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  <c r="AD106" s="144"/>
    </row>
    <row r="107" spans="1:30" s="18" customFormat="1">
      <c r="A107" s="315"/>
      <c r="B107" s="252"/>
      <c r="C107" s="141" t="s">
        <v>123</v>
      </c>
      <c r="D107" s="218"/>
      <c r="E107" s="140"/>
      <c r="F107" s="140"/>
      <c r="G107" s="140"/>
      <c r="H107" s="183">
        <v>3.51</v>
      </c>
      <c r="I107" s="183"/>
      <c r="J107" s="183">
        <v>3.51</v>
      </c>
      <c r="K107" s="183"/>
      <c r="L107" s="183">
        <v>3.51</v>
      </c>
      <c r="M107" s="183">
        <v>3.51</v>
      </c>
      <c r="N107" s="183">
        <v>4.2</v>
      </c>
      <c r="O107" s="140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  <c r="AA107" s="144"/>
      <c r="AB107" s="144"/>
      <c r="AC107" s="144"/>
      <c r="AD107" s="144"/>
    </row>
    <row r="108" spans="1:30" s="18" customFormat="1">
      <c r="A108" s="315"/>
      <c r="B108" s="252"/>
      <c r="C108" s="141" t="s">
        <v>76</v>
      </c>
      <c r="D108" s="218"/>
      <c r="E108" s="140"/>
      <c r="F108" s="140"/>
      <c r="G108" s="140"/>
      <c r="H108" s="183">
        <v>3</v>
      </c>
      <c r="I108" s="183"/>
      <c r="J108" s="183">
        <v>3</v>
      </c>
      <c r="K108" s="183"/>
      <c r="L108" s="183">
        <v>3.3</v>
      </c>
      <c r="M108" s="183">
        <v>3.3</v>
      </c>
      <c r="N108" s="183">
        <v>4.2</v>
      </c>
      <c r="O108" s="140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144"/>
      <c r="AB108" s="144"/>
      <c r="AC108" s="144"/>
      <c r="AD108" s="144"/>
    </row>
    <row r="109" spans="1:30" s="18" customFormat="1">
      <c r="A109" s="315"/>
      <c r="B109" s="252"/>
      <c r="C109" s="141" t="s">
        <v>79</v>
      </c>
      <c r="D109" s="218"/>
      <c r="E109" s="140"/>
      <c r="F109" s="140"/>
      <c r="G109" s="140"/>
      <c r="H109" s="183">
        <v>3</v>
      </c>
      <c r="I109" s="183"/>
      <c r="J109" s="183">
        <v>3</v>
      </c>
      <c r="K109" s="183"/>
      <c r="L109" s="183">
        <v>3.3</v>
      </c>
      <c r="M109" s="183">
        <v>3.3</v>
      </c>
      <c r="N109" s="183">
        <v>4.2</v>
      </c>
      <c r="O109" s="140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  <c r="AA109" s="144"/>
      <c r="AB109" s="144"/>
      <c r="AC109" s="144"/>
      <c r="AD109" s="144"/>
    </row>
    <row r="110" spans="1:30" s="18" customFormat="1">
      <c r="A110" s="315"/>
      <c r="B110" s="252"/>
      <c r="C110" s="141" t="s">
        <v>58</v>
      </c>
      <c r="D110" s="218"/>
      <c r="E110" s="140"/>
      <c r="F110" s="140"/>
      <c r="G110" s="140"/>
      <c r="H110" s="183">
        <v>3</v>
      </c>
      <c r="I110" s="183"/>
      <c r="J110" s="183">
        <v>3</v>
      </c>
      <c r="K110" s="183"/>
      <c r="L110" s="183">
        <v>3.3</v>
      </c>
      <c r="M110" s="183">
        <v>3.3</v>
      </c>
      <c r="N110" s="183">
        <v>4.2</v>
      </c>
      <c r="O110" s="140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</row>
    <row r="111" spans="1:30" s="18" customFormat="1">
      <c r="A111" s="315"/>
      <c r="B111" s="252"/>
      <c r="C111" s="141" t="s">
        <v>21</v>
      </c>
      <c r="D111" s="218"/>
      <c r="E111" s="140"/>
      <c r="F111" s="140"/>
      <c r="G111" s="140"/>
      <c r="H111" s="183">
        <v>3.5</v>
      </c>
      <c r="I111" s="183"/>
      <c r="J111" s="183">
        <v>3.5</v>
      </c>
      <c r="K111" s="183"/>
      <c r="L111" s="183">
        <v>3.8</v>
      </c>
      <c r="M111" s="183">
        <v>4</v>
      </c>
      <c r="N111" s="183">
        <v>4.2</v>
      </c>
      <c r="O111" s="140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</row>
    <row r="112" spans="1:30" s="18" customFormat="1">
      <c r="A112" s="315"/>
      <c r="B112" s="252"/>
      <c r="C112" s="141" t="s">
        <v>24</v>
      </c>
      <c r="D112" s="218"/>
      <c r="E112" s="140"/>
      <c r="F112" s="140"/>
      <c r="G112" s="140"/>
      <c r="H112" s="183">
        <v>3</v>
      </c>
      <c r="I112" s="183"/>
      <c r="J112" s="183">
        <v>3</v>
      </c>
      <c r="K112" s="183"/>
      <c r="L112" s="183">
        <v>3.3</v>
      </c>
      <c r="M112" s="183">
        <v>3</v>
      </c>
      <c r="N112" s="183">
        <v>4.2</v>
      </c>
      <c r="O112" s="140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  <c r="AA112" s="144"/>
      <c r="AB112" s="144"/>
      <c r="AC112" s="144"/>
      <c r="AD112" s="144"/>
    </row>
    <row r="113" spans="1:30" s="18" customFormat="1">
      <c r="A113" s="315"/>
      <c r="B113" s="252"/>
      <c r="C113" s="141" t="s">
        <v>50</v>
      </c>
      <c r="D113" s="218"/>
      <c r="E113" s="140"/>
      <c r="F113" s="140"/>
      <c r="G113" s="140"/>
      <c r="H113" s="183">
        <v>3</v>
      </c>
      <c r="I113" s="183"/>
      <c r="J113" s="183">
        <v>3</v>
      </c>
      <c r="K113" s="183"/>
      <c r="L113" s="183">
        <v>3.3</v>
      </c>
      <c r="M113" s="183">
        <v>3.3</v>
      </c>
      <c r="N113" s="183">
        <v>4.2</v>
      </c>
      <c r="O113" s="140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  <c r="AA113" s="144"/>
      <c r="AB113" s="144"/>
      <c r="AC113" s="144"/>
      <c r="AD113" s="144"/>
    </row>
    <row r="114" spans="1:30" s="18" customFormat="1" ht="24.75" thickBot="1">
      <c r="A114" s="316"/>
      <c r="B114" s="272"/>
      <c r="C114" s="145" t="s">
        <v>14</v>
      </c>
      <c r="D114" s="278"/>
      <c r="E114" s="146"/>
      <c r="F114" s="146"/>
      <c r="G114" s="146"/>
      <c r="H114" s="189">
        <v>3</v>
      </c>
      <c r="I114" s="189"/>
      <c r="J114" s="189">
        <v>3.2</v>
      </c>
      <c r="K114" s="189"/>
      <c r="L114" s="189">
        <v>3.3</v>
      </c>
      <c r="M114" s="189">
        <v>3.3</v>
      </c>
      <c r="N114" s="189">
        <v>4.2</v>
      </c>
      <c r="O114" s="146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  <c r="AA114" s="144"/>
      <c r="AB114" s="144"/>
      <c r="AC114" s="144"/>
      <c r="AD114" s="144"/>
    </row>
    <row r="115" spans="1:30" s="18" customFormat="1" ht="66" customHeight="1">
      <c r="A115" s="317" t="s">
        <v>417</v>
      </c>
      <c r="B115" s="252" t="s">
        <v>121</v>
      </c>
      <c r="C115" s="296" t="s">
        <v>365</v>
      </c>
      <c r="D115" s="297" t="s">
        <v>402</v>
      </c>
      <c r="E115" s="296"/>
      <c r="F115" s="296"/>
      <c r="G115" s="296"/>
      <c r="H115" s="298">
        <v>3</v>
      </c>
      <c r="I115" s="298">
        <v>3.1758333333333328</v>
      </c>
      <c r="J115" s="298">
        <v>3</v>
      </c>
      <c r="K115" s="298"/>
      <c r="L115" s="298"/>
      <c r="M115" s="298"/>
      <c r="N115" s="298"/>
      <c r="O115" s="140"/>
      <c r="P115" s="144"/>
      <c r="Q115" s="144"/>
      <c r="R115" s="144"/>
      <c r="S115" s="144"/>
      <c r="T115" s="144"/>
      <c r="U115" s="144"/>
      <c r="V115" s="144"/>
      <c r="W115" s="144"/>
      <c r="X115" s="144"/>
      <c r="Y115" s="144"/>
      <c r="Z115" s="144"/>
      <c r="AA115" s="144"/>
      <c r="AB115" s="144"/>
      <c r="AC115" s="144"/>
      <c r="AD115" s="144"/>
    </row>
    <row r="116" spans="1:30" s="18" customFormat="1">
      <c r="A116" s="315"/>
      <c r="B116" s="252"/>
      <c r="C116" s="141" t="s">
        <v>110</v>
      </c>
      <c r="D116" s="218"/>
      <c r="E116" s="140"/>
      <c r="F116" s="140"/>
      <c r="G116" s="140"/>
      <c r="H116" s="183">
        <v>4</v>
      </c>
      <c r="I116" s="183"/>
      <c r="J116" s="183">
        <v>4</v>
      </c>
      <c r="K116" s="183"/>
      <c r="L116" s="183">
        <v>4</v>
      </c>
      <c r="M116" s="183">
        <v>4.5</v>
      </c>
      <c r="N116" s="183">
        <v>4.5</v>
      </c>
      <c r="O116" s="140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  <c r="AA116" s="144"/>
      <c r="AB116" s="144"/>
      <c r="AC116" s="144"/>
      <c r="AD116" s="144"/>
    </row>
    <row r="117" spans="1:30" s="18" customFormat="1">
      <c r="A117" s="315"/>
      <c r="B117" s="252"/>
      <c r="C117" s="141" t="s">
        <v>56</v>
      </c>
      <c r="D117" s="218"/>
      <c r="E117" s="140"/>
      <c r="F117" s="140"/>
      <c r="G117" s="140"/>
      <c r="H117" s="183">
        <v>5</v>
      </c>
      <c r="I117" s="183"/>
      <c r="J117" s="183">
        <v>5</v>
      </c>
      <c r="K117" s="183"/>
      <c r="L117" s="183">
        <v>5</v>
      </c>
      <c r="M117" s="183">
        <v>5</v>
      </c>
      <c r="N117" s="183">
        <v>5</v>
      </c>
      <c r="O117" s="140"/>
      <c r="P117" s="144"/>
      <c r="Q117" s="144"/>
      <c r="R117" s="144"/>
      <c r="S117" s="144"/>
      <c r="T117" s="144"/>
      <c r="U117" s="144"/>
      <c r="V117" s="144"/>
      <c r="W117" s="144"/>
      <c r="X117" s="144"/>
      <c r="Y117" s="144"/>
      <c r="Z117" s="144"/>
      <c r="AA117" s="144"/>
      <c r="AB117" s="144"/>
      <c r="AC117" s="144"/>
      <c r="AD117" s="144"/>
    </row>
    <row r="118" spans="1:30" s="18" customFormat="1">
      <c r="A118" s="315"/>
      <c r="B118" s="252"/>
      <c r="C118" s="141" t="s">
        <v>94</v>
      </c>
      <c r="D118" s="218"/>
      <c r="E118" s="140"/>
      <c r="F118" s="140"/>
      <c r="G118" s="140"/>
      <c r="H118" s="183">
        <v>5</v>
      </c>
      <c r="I118" s="183"/>
      <c r="J118" s="183">
        <v>5</v>
      </c>
      <c r="K118" s="183"/>
      <c r="L118" s="183">
        <v>5</v>
      </c>
      <c r="M118" s="183">
        <v>5</v>
      </c>
      <c r="N118" s="183">
        <v>5</v>
      </c>
      <c r="O118" s="140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4"/>
      <c r="AB118" s="144"/>
      <c r="AC118" s="144"/>
      <c r="AD118" s="144"/>
    </row>
    <row r="119" spans="1:30" s="18" customFormat="1">
      <c r="A119" s="315"/>
      <c r="B119" s="252"/>
      <c r="C119" s="141" t="s">
        <v>95</v>
      </c>
      <c r="D119" s="218"/>
      <c r="E119" s="140"/>
      <c r="F119" s="140"/>
      <c r="G119" s="140"/>
      <c r="H119" s="183">
        <v>3</v>
      </c>
      <c r="I119" s="183"/>
      <c r="J119" s="183">
        <v>3.25</v>
      </c>
      <c r="K119" s="183"/>
      <c r="L119" s="183">
        <v>3.51</v>
      </c>
      <c r="M119" s="183">
        <v>3.75</v>
      </c>
      <c r="N119" s="183">
        <v>4</v>
      </c>
      <c r="O119" s="140"/>
      <c r="P119" s="144"/>
      <c r="Q119" s="144"/>
      <c r="R119" s="144"/>
      <c r="S119" s="144"/>
      <c r="T119" s="144"/>
      <c r="U119" s="144"/>
      <c r="V119" s="144"/>
      <c r="W119" s="144"/>
      <c r="X119" s="144"/>
      <c r="Y119" s="144"/>
      <c r="Z119" s="144"/>
      <c r="AA119" s="144"/>
      <c r="AB119" s="144"/>
      <c r="AC119" s="144"/>
      <c r="AD119" s="144"/>
    </row>
    <row r="120" spans="1:30" s="18" customFormat="1">
      <c r="A120" s="315"/>
      <c r="B120" s="252"/>
      <c r="C120" s="141" t="s">
        <v>123</v>
      </c>
      <c r="D120" s="218"/>
      <c r="E120" s="140"/>
      <c r="F120" s="140"/>
      <c r="G120" s="140"/>
      <c r="H120" s="183">
        <v>3</v>
      </c>
      <c r="I120" s="183"/>
      <c r="J120" s="183">
        <v>3</v>
      </c>
      <c r="K120" s="183"/>
      <c r="L120" s="183">
        <v>3.3</v>
      </c>
      <c r="M120" s="183">
        <v>3.51</v>
      </c>
      <c r="N120" s="183">
        <v>4</v>
      </c>
      <c r="O120" s="140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  <c r="AA120" s="144"/>
      <c r="AB120" s="144"/>
      <c r="AC120" s="144"/>
      <c r="AD120" s="144"/>
    </row>
    <row r="121" spans="1:30" s="18" customFormat="1">
      <c r="A121" s="315"/>
      <c r="B121" s="252"/>
      <c r="C121" s="141" t="s">
        <v>76</v>
      </c>
      <c r="D121" s="218"/>
      <c r="E121" s="140"/>
      <c r="F121" s="140"/>
      <c r="G121" s="140"/>
      <c r="H121" s="183">
        <v>3</v>
      </c>
      <c r="I121" s="183"/>
      <c r="J121" s="183">
        <v>3</v>
      </c>
      <c r="K121" s="183"/>
      <c r="L121" s="183">
        <v>3.3</v>
      </c>
      <c r="M121" s="183">
        <v>3.51</v>
      </c>
      <c r="N121" s="183">
        <v>4</v>
      </c>
      <c r="O121" s="140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  <c r="AA121" s="144"/>
      <c r="AB121" s="144"/>
      <c r="AC121" s="144"/>
      <c r="AD121" s="144"/>
    </row>
    <row r="122" spans="1:30" s="18" customFormat="1">
      <c r="A122" s="315"/>
      <c r="B122" s="252"/>
      <c r="C122" s="141" t="s">
        <v>79</v>
      </c>
      <c r="D122" s="218"/>
      <c r="E122" s="140"/>
      <c r="F122" s="140"/>
      <c r="G122" s="140"/>
      <c r="H122" s="188">
        <v>3</v>
      </c>
      <c r="I122" s="188"/>
      <c r="J122" s="188">
        <v>3</v>
      </c>
      <c r="K122" s="188"/>
      <c r="L122" s="188">
        <v>3.3</v>
      </c>
      <c r="M122" s="188">
        <v>3.51</v>
      </c>
      <c r="N122" s="188">
        <v>4</v>
      </c>
      <c r="O122" s="140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</row>
    <row r="123" spans="1:30" s="18" customFormat="1">
      <c r="A123" s="315"/>
      <c r="B123" s="252"/>
      <c r="C123" s="141" t="s">
        <v>58</v>
      </c>
      <c r="D123" s="218"/>
      <c r="E123" s="140"/>
      <c r="F123" s="140"/>
      <c r="G123" s="140"/>
      <c r="H123" s="183">
        <v>3</v>
      </c>
      <c r="I123" s="183"/>
      <c r="J123" s="183">
        <v>3</v>
      </c>
      <c r="K123" s="183"/>
      <c r="L123" s="183">
        <v>3.3</v>
      </c>
      <c r="M123" s="183">
        <v>3.51</v>
      </c>
      <c r="N123" s="183">
        <v>4</v>
      </c>
      <c r="O123" s="140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</row>
    <row r="124" spans="1:30" s="18" customFormat="1">
      <c r="A124" s="315"/>
      <c r="B124" s="252"/>
      <c r="C124" s="141" t="s">
        <v>21</v>
      </c>
      <c r="D124" s="218"/>
      <c r="E124" s="140"/>
      <c r="F124" s="140"/>
      <c r="G124" s="140"/>
      <c r="H124" s="183">
        <v>5</v>
      </c>
      <c r="I124" s="183"/>
      <c r="J124" s="183">
        <v>5</v>
      </c>
      <c r="K124" s="183"/>
      <c r="L124" s="183">
        <v>5</v>
      </c>
      <c r="M124" s="183">
        <v>5</v>
      </c>
      <c r="N124" s="183">
        <v>5</v>
      </c>
      <c r="O124" s="140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  <c r="AA124" s="144"/>
      <c r="AB124" s="144"/>
      <c r="AC124" s="144"/>
      <c r="AD124" s="144"/>
    </row>
    <row r="125" spans="1:30" s="18" customFormat="1">
      <c r="A125" s="315"/>
      <c r="B125" s="252"/>
      <c r="C125" s="141" t="s">
        <v>24</v>
      </c>
      <c r="D125" s="218"/>
      <c r="E125" s="140"/>
      <c r="F125" s="140"/>
      <c r="G125" s="140"/>
      <c r="H125" s="183">
        <v>3</v>
      </c>
      <c r="I125" s="183"/>
      <c r="J125" s="183">
        <v>3</v>
      </c>
      <c r="K125" s="183"/>
      <c r="L125" s="183">
        <v>3.3</v>
      </c>
      <c r="M125" s="183">
        <v>3.51</v>
      </c>
      <c r="N125" s="183">
        <v>4</v>
      </c>
      <c r="O125" s="140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</row>
    <row r="126" spans="1:30" s="18" customFormat="1">
      <c r="A126" s="315"/>
      <c r="B126" s="252"/>
      <c r="C126" s="141" t="s">
        <v>50</v>
      </c>
      <c r="D126" s="218"/>
      <c r="E126" s="140"/>
      <c r="F126" s="140"/>
      <c r="G126" s="140"/>
      <c r="H126" s="183">
        <v>3</v>
      </c>
      <c r="I126" s="183"/>
      <c r="J126" s="183">
        <v>3</v>
      </c>
      <c r="K126" s="183"/>
      <c r="L126" s="183">
        <v>3.3</v>
      </c>
      <c r="M126" s="183">
        <v>3.51</v>
      </c>
      <c r="N126" s="183">
        <v>4</v>
      </c>
      <c r="O126" s="140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</row>
    <row r="127" spans="1:30" s="18" customFormat="1">
      <c r="A127" s="315"/>
      <c r="B127" s="252"/>
      <c r="C127" s="142" t="s">
        <v>14</v>
      </c>
      <c r="D127" s="277"/>
      <c r="E127" s="143"/>
      <c r="F127" s="143"/>
      <c r="G127" s="143"/>
      <c r="H127" s="184">
        <v>3</v>
      </c>
      <c r="I127" s="184"/>
      <c r="J127" s="184">
        <v>3</v>
      </c>
      <c r="K127" s="184"/>
      <c r="L127" s="184">
        <v>3.3</v>
      </c>
      <c r="M127" s="184">
        <v>3.51</v>
      </c>
      <c r="N127" s="184">
        <v>4</v>
      </c>
      <c r="O127" s="143"/>
      <c r="P127" s="144"/>
      <c r="Q127" s="144"/>
      <c r="R127" s="144"/>
      <c r="S127" s="144"/>
      <c r="T127" s="144"/>
      <c r="U127" s="144"/>
      <c r="V127" s="144"/>
      <c r="W127" s="144"/>
      <c r="X127" s="144"/>
      <c r="Y127" s="144"/>
      <c r="Z127" s="144"/>
      <c r="AA127" s="144"/>
      <c r="AB127" s="144"/>
      <c r="AC127" s="144"/>
      <c r="AD127" s="144"/>
    </row>
    <row r="128" spans="1:30" s="18" customFormat="1" ht="48">
      <c r="A128" s="315"/>
      <c r="B128" s="253"/>
      <c r="C128" s="291" t="s">
        <v>366</v>
      </c>
      <c r="D128" s="261" t="s">
        <v>402</v>
      </c>
      <c r="E128" s="291"/>
      <c r="F128" s="291"/>
      <c r="G128" s="291"/>
      <c r="H128" s="294">
        <v>3.51</v>
      </c>
      <c r="I128" s="294">
        <v>2.9216666666666669</v>
      </c>
      <c r="J128" s="294">
        <v>3.51</v>
      </c>
      <c r="K128" s="294"/>
      <c r="L128" s="294"/>
      <c r="M128" s="294"/>
      <c r="N128" s="294"/>
      <c r="O128" s="140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  <c r="AA128" s="144"/>
      <c r="AB128" s="144"/>
      <c r="AC128" s="144"/>
      <c r="AD128" s="144"/>
    </row>
    <row r="129" spans="1:30" s="18" customFormat="1">
      <c r="A129" s="315"/>
      <c r="B129" s="253"/>
      <c r="C129" s="141" t="s">
        <v>110</v>
      </c>
      <c r="D129" s="218"/>
      <c r="E129" s="140"/>
      <c r="F129" s="140"/>
      <c r="G129" s="140"/>
      <c r="H129" s="183">
        <v>3.51</v>
      </c>
      <c r="I129" s="183"/>
      <c r="J129" s="183">
        <v>3.51</v>
      </c>
      <c r="K129" s="183"/>
      <c r="L129" s="183">
        <v>3.51</v>
      </c>
      <c r="M129" s="183">
        <v>3.75</v>
      </c>
      <c r="N129" s="183">
        <v>4</v>
      </c>
      <c r="O129" s="140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  <c r="AA129" s="144"/>
      <c r="AB129" s="144"/>
      <c r="AC129" s="144"/>
      <c r="AD129" s="144"/>
    </row>
    <row r="130" spans="1:30" s="18" customFormat="1">
      <c r="A130" s="315"/>
      <c r="B130" s="253"/>
      <c r="C130" s="141" t="s">
        <v>56</v>
      </c>
      <c r="D130" s="218"/>
      <c r="E130" s="140"/>
      <c r="F130" s="140"/>
      <c r="G130" s="140"/>
      <c r="H130" s="183">
        <v>3.51</v>
      </c>
      <c r="I130" s="183"/>
      <c r="J130" s="183">
        <v>3.51</v>
      </c>
      <c r="K130" s="183"/>
      <c r="L130" s="183">
        <v>4</v>
      </c>
      <c r="M130" s="183">
        <v>4</v>
      </c>
      <c r="N130" s="183">
        <v>4</v>
      </c>
      <c r="O130" s="140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  <c r="AA130" s="144"/>
      <c r="AB130" s="144"/>
      <c r="AC130" s="144"/>
      <c r="AD130" s="144"/>
    </row>
    <row r="131" spans="1:30" s="18" customFormat="1">
      <c r="A131" s="315"/>
      <c r="B131" s="253"/>
      <c r="C131" s="141" t="s">
        <v>94</v>
      </c>
      <c r="D131" s="218"/>
      <c r="E131" s="140"/>
      <c r="F131" s="140"/>
      <c r="G131" s="140"/>
      <c r="H131" s="183">
        <v>3.51</v>
      </c>
      <c r="I131" s="183"/>
      <c r="J131" s="183">
        <v>3.51</v>
      </c>
      <c r="K131" s="183"/>
      <c r="L131" s="183">
        <v>3.51</v>
      </c>
      <c r="M131" s="183">
        <v>3.51</v>
      </c>
      <c r="N131" s="183">
        <v>4</v>
      </c>
      <c r="O131" s="140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  <c r="AA131" s="144"/>
      <c r="AB131" s="144"/>
      <c r="AC131" s="144"/>
      <c r="AD131" s="144"/>
    </row>
    <row r="132" spans="1:30" s="18" customFormat="1">
      <c r="A132" s="315"/>
      <c r="B132" s="253"/>
      <c r="C132" s="141" t="s">
        <v>95</v>
      </c>
      <c r="D132" s="218"/>
      <c r="E132" s="140"/>
      <c r="F132" s="140"/>
      <c r="G132" s="140"/>
      <c r="H132" s="183">
        <v>3.51</v>
      </c>
      <c r="I132" s="183"/>
      <c r="J132" s="183">
        <v>3.51</v>
      </c>
      <c r="K132" s="183"/>
      <c r="L132" s="183">
        <v>3.51</v>
      </c>
      <c r="M132" s="183">
        <v>4</v>
      </c>
      <c r="N132" s="183">
        <v>4</v>
      </c>
      <c r="O132" s="140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  <c r="AA132" s="144"/>
      <c r="AB132" s="144"/>
      <c r="AC132" s="144"/>
      <c r="AD132" s="144"/>
    </row>
    <row r="133" spans="1:30" s="18" customFormat="1">
      <c r="A133" s="315"/>
      <c r="B133" s="253"/>
      <c r="C133" s="141" t="s">
        <v>123</v>
      </c>
      <c r="D133" s="218"/>
      <c r="E133" s="140"/>
      <c r="F133" s="140"/>
      <c r="G133" s="140"/>
      <c r="H133" s="183">
        <v>3.51</v>
      </c>
      <c r="I133" s="183"/>
      <c r="J133" s="183">
        <v>3.51</v>
      </c>
      <c r="K133" s="183"/>
      <c r="L133" s="183">
        <v>3.51</v>
      </c>
      <c r="M133" s="183">
        <v>3.51</v>
      </c>
      <c r="N133" s="183">
        <v>4</v>
      </c>
      <c r="O133" s="140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  <c r="AA133" s="144"/>
      <c r="AB133" s="144"/>
      <c r="AC133" s="144"/>
      <c r="AD133" s="144"/>
    </row>
    <row r="134" spans="1:30" s="18" customFormat="1">
      <c r="A134" s="315"/>
      <c r="B134" s="253"/>
      <c r="C134" s="141" t="s">
        <v>76</v>
      </c>
      <c r="D134" s="218"/>
      <c r="E134" s="140"/>
      <c r="F134" s="140"/>
      <c r="G134" s="140"/>
      <c r="H134" s="183">
        <v>3.51</v>
      </c>
      <c r="I134" s="183"/>
      <c r="J134" s="183">
        <v>3.51</v>
      </c>
      <c r="K134" s="183"/>
      <c r="L134" s="183">
        <v>3.51</v>
      </c>
      <c r="M134" s="183">
        <v>3.51</v>
      </c>
      <c r="N134" s="183">
        <v>4</v>
      </c>
      <c r="O134" s="140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  <c r="AA134" s="144"/>
      <c r="AB134" s="144"/>
      <c r="AC134" s="144"/>
      <c r="AD134" s="144"/>
    </row>
    <row r="135" spans="1:30" s="18" customFormat="1">
      <c r="A135" s="315"/>
      <c r="B135" s="253"/>
      <c r="C135" s="141" t="s">
        <v>79</v>
      </c>
      <c r="D135" s="218"/>
      <c r="E135" s="140"/>
      <c r="F135" s="140"/>
      <c r="G135" s="140"/>
      <c r="H135" s="188">
        <v>3.51</v>
      </c>
      <c r="I135" s="188"/>
      <c r="J135" s="188">
        <v>3.51</v>
      </c>
      <c r="K135" s="188"/>
      <c r="L135" s="188">
        <v>3.51</v>
      </c>
      <c r="M135" s="188">
        <v>3.51</v>
      </c>
      <c r="N135" s="188">
        <v>4</v>
      </c>
      <c r="O135" s="140"/>
      <c r="P135" s="144"/>
      <c r="Q135" s="144"/>
      <c r="R135" s="144"/>
      <c r="S135" s="144"/>
      <c r="T135" s="144"/>
      <c r="U135" s="144"/>
      <c r="V135" s="144"/>
      <c r="W135" s="144"/>
      <c r="X135" s="144"/>
      <c r="Y135" s="144"/>
      <c r="Z135" s="144"/>
      <c r="AA135" s="144"/>
      <c r="AB135" s="144"/>
      <c r="AC135" s="144"/>
      <c r="AD135" s="144"/>
    </row>
    <row r="136" spans="1:30" s="18" customFormat="1">
      <c r="A136" s="315"/>
      <c r="B136" s="253"/>
      <c r="C136" s="141" t="s">
        <v>58</v>
      </c>
      <c r="D136" s="218"/>
      <c r="E136" s="140"/>
      <c r="F136" s="140"/>
      <c r="G136" s="140"/>
      <c r="H136" s="183">
        <v>3.51</v>
      </c>
      <c r="I136" s="183"/>
      <c r="J136" s="183">
        <v>3.51</v>
      </c>
      <c r="K136" s="183"/>
      <c r="L136" s="183">
        <v>3.51</v>
      </c>
      <c r="M136" s="183">
        <v>3.51</v>
      </c>
      <c r="N136" s="183">
        <v>4</v>
      </c>
      <c r="O136" s="140"/>
      <c r="P136" s="144"/>
      <c r="Q136" s="144"/>
      <c r="R136" s="144"/>
      <c r="S136" s="144"/>
      <c r="T136" s="144"/>
      <c r="U136" s="144"/>
      <c r="V136" s="144"/>
      <c r="W136" s="144"/>
      <c r="X136" s="144"/>
      <c r="Y136" s="144"/>
      <c r="Z136" s="144"/>
      <c r="AA136" s="144"/>
      <c r="AB136" s="144"/>
      <c r="AC136" s="144"/>
      <c r="AD136" s="144"/>
    </row>
    <row r="137" spans="1:30" s="18" customFormat="1">
      <c r="A137" s="315"/>
      <c r="B137" s="253"/>
      <c r="C137" s="141" t="s">
        <v>21</v>
      </c>
      <c r="D137" s="218"/>
      <c r="E137" s="140"/>
      <c r="F137" s="140"/>
      <c r="G137" s="140"/>
      <c r="H137" s="183">
        <v>3.51</v>
      </c>
      <c r="I137" s="183"/>
      <c r="J137" s="183">
        <v>3.51</v>
      </c>
      <c r="K137" s="183"/>
      <c r="L137" s="183">
        <v>4</v>
      </c>
      <c r="M137" s="183">
        <v>4</v>
      </c>
      <c r="N137" s="183">
        <v>4</v>
      </c>
      <c r="O137" s="140"/>
      <c r="P137" s="144"/>
      <c r="Q137" s="144"/>
      <c r="R137" s="144"/>
      <c r="S137" s="144"/>
      <c r="T137" s="144"/>
      <c r="U137" s="144"/>
      <c r="V137" s="144"/>
      <c r="W137" s="144"/>
      <c r="X137" s="144"/>
      <c r="Y137" s="144"/>
      <c r="Z137" s="144"/>
      <c r="AA137" s="144"/>
      <c r="AB137" s="144"/>
      <c r="AC137" s="144"/>
      <c r="AD137" s="144"/>
    </row>
    <row r="138" spans="1:30" s="18" customFormat="1">
      <c r="A138" s="315"/>
      <c r="B138" s="253"/>
      <c r="C138" s="141" t="s">
        <v>24</v>
      </c>
      <c r="D138" s="218"/>
      <c r="E138" s="140"/>
      <c r="F138" s="140"/>
      <c r="G138" s="140"/>
      <c r="H138" s="183">
        <v>3.51</v>
      </c>
      <c r="I138" s="183"/>
      <c r="J138" s="183">
        <v>3.51</v>
      </c>
      <c r="K138" s="183"/>
      <c r="L138" s="183">
        <v>4</v>
      </c>
      <c r="M138" s="183">
        <v>4</v>
      </c>
      <c r="N138" s="183">
        <v>4</v>
      </c>
      <c r="O138" s="140"/>
      <c r="P138" s="144"/>
      <c r="Q138" s="144"/>
      <c r="R138" s="144"/>
      <c r="S138" s="144"/>
      <c r="T138" s="144"/>
      <c r="U138" s="144"/>
      <c r="V138" s="144"/>
      <c r="W138" s="144"/>
      <c r="X138" s="144"/>
      <c r="Y138" s="144"/>
      <c r="Z138" s="144"/>
      <c r="AA138" s="144"/>
      <c r="AB138" s="144"/>
      <c r="AC138" s="144"/>
      <c r="AD138" s="144"/>
    </row>
    <row r="139" spans="1:30" s="18" customFormat="1">
      <c r="A139" s="315"/>
      <c r="B139" s="253"/>
      <c r="C139" s="141" t="s">
        <v>50</v>
      </c>
      <c r="D139" s="218"/>
      <c r="E139" s="140"/>
      <c r="F139" s="140"/>
      <c r="G139" s="140"/>
      <c r="H139" s="183">
        <v>4</v>
      </c>
      <c r="I139" s="183"/>
      <c r="J139" s="183">
        <v>4</v>
      </c>
      <c r="K139" s="183"/>
      <c r="L139" s="183">
        <v>4</v>
      </c>
      <c r="M139" s="183">
        <v>4</v>
      </c>
      <c r="N139" s="183">
        <v>4</v>
      </c>
      <c r="O139" s="140"/>
      <c r="P139" s="144"/>
      <c r="Q139" s="144"/>
      <c r="R139" s="144"/>
      <c r="S139" s="144"/>
      <c r="T139" s="144"/>
      <c r="U139" s="144"/>
      <c r="V139" s="144"/>
      <c r="W139" s="144"/>
      <c r="X139" s="144"/>
      <c r="Y139" s="144"/>
      <c r="Z139" s="144"/>
      <c r="AA139" s="144"/>
      <c r="AB139" s="144"/>
      <c r="AC139" s="144"/>
      <c r="AD139" s="144"/>
    </row>
    <row r="140" spans="1:30" s="18" customFormat="1">
      <c r="A140" s="315"/>
      <c r="B140" s="253"/>
      <c r="C140" s="142" t="s">
        <v>14</v>
      </c>
      <c r="D140" s="277"/>
      <c r="E140" s="143"/>
      <c r="F140" s="143"/>
      <c r="G140" s="143"/>
      <c r="H140" s="184">
        <v>3.51</v>
      </c>
      <c r="I140" s="184"/>
      <c r="J140" s="184">
        <v>3.51</v>
      </c>
      <c r="K140" s="184"/>
      <c r="L140" s="184">
        <v>4</v>
      </c>
      <c r="M140" s="184">
        <v>4</v>
      </c>
      <c r="N140" s="184">
        <v>4</v>
      </c>
      <c r="O140" s="143"/>
      <c r="P140" s="144"/>
      <c r="Q140" s="144"/>
      <c r="R140" s="144"/>
      <c r="S140" s="144"/>
      <c r="T140" s="144"/>
      <c r="U140" s="144"/>
      <c r="V140" s="144"/>
      <c r="W140" s="144"/>
      <c r="X140" s="144"/>
      <c r="Y140" s="144"/>
      <c r="Z140" s="144"/>
      <c r="AA140" s="144"/>
      <c r="AB140" s="144"/>
      <c r="AC140" s="144"/>
      <c r="AD140" s="144"/>
    </row>
    <row r="141" spans="1:30" s="18" customFormat="1" ht="51.75" customHeight="1">
      <c r="A141" s="315"/>
      <c r="B141" s="253"/>
      <c r="C141" s="291" t="s">
        <v>248</v>
      </c>
      <c r="D141" s="261" t="s">
        <v>402</v>
      </c>
      <c r="E141" s="299"/>
      <c r="F141" s="299"/>
      <c r="G141" s="299"/>
      <c r="H141" s="294">
        <v>3</v>
      </c>
      <c r="I141" s="294">
        <v>1.4529166666666666</v>
      </c>
      <c r="J141" s="294">
        <v>3</v>
      </c>
      <c r="K141" s="294"/>
      <c r="L141" s="294"/>
      <c r="M141" s="294"/>
      <c r="N141" s="294"/>
      <c r="O141" s="140"/>
      <c r="P141" s="144"/>
      <c r="Q141" s="144"/>
      <c r="R141" s="144"/>
      <c r="S141" s="144"/>
      <c r="T141" s="144"/>
      <c r="U141" s="144"/>
      <c r="V141" s="144"/>
      <c r="W141" s="144"/>
      <c r="X141" s="144"/>
      <c r="Y141" s="144"/>
      <c r="Z141" s="144"/>
      <c r="AA141" s="144"/>
      <c r="AB141" s="144"/>
      <c r="AC141" s="144"/>
      <c r="AD141" s="144"/>
    </row>
    <row r="142" spans="1:30" s="18" customFormat="1">
      <c r="A142" s="315"/>
      <c r="B142" s="253"/>
      <c r="C142" s="141" t="s">
        <v>110</v>
      </c>
      <c r="D142" s="218"/>
      <c r="E142" s="140"/>
      <c r="F142" s="140"/>
      <c r="G142" s="140"/>
      <c r="H142" s="183">
        <v>3</v>
      </c>
      <c r="I142" s="183"/>
      <c r="J142" s="183">
        <v>3.51</v>
      </c>
      <c r="K142" s="183"/>
      <c r="L142" s="183">
        <v>3.51</v>
      </c>
      <c r="M142" s="183">
        <v>3.51</v>
      </c>
      <c r="N142" s="183">
        <v>4</v>
      </c>
      <c r="O142" s="140"/>
      <c r="P142" s="144"/>
      <c r="Q142" s="144"/>
      <c r="R142" s="144"/>
      <c r="S142" s="144"/>
      <c r="T142" s="144"/>
      <c r="U142" s="144"/>
      <c r="V142" s="144"/>
      <c r="W142" s="144"/>
      <c r="X142" s="144"/>
      <c r="Y142" s="144"/>
      <c r="Z142" s="144"/>
      <c r="AA142" s="144"/>
      <c r="AB142" s="144"/>
      <c r="AC142" s="144"/>
      <c r="AD142" s="144"/>
    </row>
    <row r="143" spans="1:30" s="18" customFormat="1">
      <c r="A143" s="315"/>
      <c r="B143" s="253"/>
      <c r="C143" s="141" t="s">
        <v>56</v>
      </c>
      <c r="D143" s="218"/>
      <c r="E143" s="140"/>
      <c r="F143" s="140"/>
      <c r="G143" s="140"/>
      <c r="H143" s="183">
        <v>4</v>
      </c>
      <c r="I143" s="183"/>
      <c r="J143" s="183">
        <v>4</v>
      </c>
      <c r="K143" s="183"/>
      <c r="L143" s="183">
        <v>4</v>
      </c>
      <c r="M143" s="183">
        <v>4</v>
      </c>
      <c r="N143" s="183">
        <v>4</v>
      </c>
      <c r="O143" s="140"/>
      <c r="P143" s="144"/>
      <c r="Q143" s="144"/>
      <c r="R143" s="144"/>
      <c r="S143" s="144"/>
      <c r="T143" s="144"/>
      <c r="U143" s="144"/>
      <c r="V143" s="144"/>
      <c r="W143" s="144"/>
      <c r="X143" s="144"/>
      <c r="Y143" s="144"/>
      <c r="Z143" s="144"/>
      <c r="AA143" s="144"/>
      <c r="AB143" s="144"/>
      <c r="AC143" s="144"/>
      <c r="AD143" s="144"/>
    </row>
    <row r="144" spans="1:30" s="18" customFormat="1">
      <c r="A144" s="315"/>
      <c r="B144" s="253"/>
      <c r="C144" s="141" t="s">
        <v>94</v>
      </c>
      <c r="D144" s="218"/>
      <c r="E144" s="140"/>
      <c r="F144" s="140"/>
      <c r="G144" s="140"/>
      <c r="H144" s="183">
        <v>3.51</v>
      </c>
      <c r="I144" s="183"/>
      <c r="J144" s="183">
        <v>3.51</v>
      </c>
      <c r="K144" s="183"/>
      <c r="L144" s="183">
        <v>3.51</v>
      </c>
      <c r="M144" s="183">
        <v>3.51</v>
      </c>
      <c r="N144" s="183">
        <v>4</v>
      </c>
      <c r="O144" s="140"/>
      <c r="P144" s="144"/>
      <c r="Q144" s="144"/>
      <c r="R144" s="144"/>
      <c r="S144" s="144"/>
      <c r="T144" s="144"/>
      <c r="U144" s="144"/>
      <c r="V144" s="144"/>
      <c r="W144" s="144"/>
      <c r="X144" s="144"/>
      <c r="Y144" s="144"/>
      <c r="Z144" s="144"/>
      <c r="AA144" s="144"/>
      <c r="AB144" s="144"/>
      <c r="AC144" s="144"/>
      <c r="AD144" s="144"/>
    </row>
    <row r="145" spans="1:30" s="18" customFormat="1">
      <c r="A145" s="315"/>
      <c r="B145" s="253"/>
      <c r="C145" s="141" t="s">
        <v>95</v>
      </c>
      <c r="D145" s="218"/>
      <c r="E145" s="140"/>
      <c r="F145" s="140"/>
      <c r="G145" s="140"/>
      <c r="H145" s="182">
        <v>3</v>
      </c>
      <c r="I145" s="182"/>
      <c r="J145" s="182">
        <v>3</v>
      </c>
      <c r="K145" s="182"/>
      <c r="L145" s="182">
        <v>3</v>
      </c>
      <c r="M145" s="182">
        <v>3</v>
      </c>
      <c r="N145" s="183">
        <v>3.5</v>
      </c>
      <c r="O145" s="140"/>
      <c r="P145" s="144"/>
      <c r="Q145" s="144"/>
      <c r="R145" s="144"/>
      <c r="S145" s="144"/>
      <c r="T145" s="144"/>
      <c r="U145" s="144"/>
      <c r="V145" s="144"/>
      <c r="W145" s="144"/>
      <c r="X145" s="144"/>
      <c r="Y145" s="144"/>
      <c r="Z145" s="144"/>
      <c r="AA145" s="144"/>
      <c r="AB145" s="144"/>
      <c r="AC145" s="144"/>
      <c r="AD145" s="144"/>
    </row>
    <row r="146" spans="1:30" s="18" customFormat="1">
      <c r="A146" s="315"/>
      <c r="B146" s="253"/>
      <c r="C146" s="141" t="s">
        <v>123</v>
      </c>
      <c r="D146" s="218"/>
      <c r="E146" s="140"/>
      <c r="F146" s="140"/>
      <c r="G146" s="140"/>
      <c r="H146" s="183">
        <v>3</v>
      </c>
      <c r="I146" s="183"/>
      <c r="J146" s="183">
        <v>3</v>
      </c>
      <c r="K146" s="183"/>
      <c r="L146" s="183">
        <v>3</v>
      </c>
      <c r="M146" s="183">
        <v>3</v>
      </c>
      <c r="N146" s="183">
        <v>3</v>
      </c>
      <c r="O146" s="140"/>
      <c r="P146" s="144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  <c r="AA146" s="144"/>
      <c r="AB146" s="144"/>
      <c r="AC146" s="144"/>
      <c r="AD146" s="144"/>
    </row>
    <row r="147" spans="1:30" s="18" customFormat="1">
      <c r="A147" s="315"/>
      <c r="B147" s="253"/>
      <c r="C147" s="141" t="s">
        <v>76</v>
      </c>
      <c r="D147" s="218"/>
      <c r="E147" s="140"/>
      <c r="F147" s="140"/>
      <c r="G147" s="140"/>
      <c r="H147" s="183">
        <v>3</v>
      </c>
      <c r="I147" s="183"/>
      <c r="J147" s="183">
        <v>3.51</v>
      </c>
      <c r="K147" s="183"/>
      <c r="L147" s="183">
        <v>3.51</v>
      </c>
      <c r="M147" s="183">
        <v>3.51</v>
      </c>
      <c r="N147" s="183">
        <v>4</v>
      </c>
      <c r="O147" s="140"/>
      <c r="P147" s="144"/>
      <c r="Q147" s="144"/>
      <c r="R147" s="144"/>
      <c r="S147" s="144"/>
      <c r="T147" s="144"/>
      <c r="U147" s="144"/>
      <c r="V147" s="144"/>
      <c r="W147" s="144"/>
      <c r="X147" s="144"/>
      <c r="Y147" s="144"/>
      <c r="Z147" s="144"/>
      <c r="AA147" s="144"/>
      <c r="AB147" s="144"/>
      <c r="AC147" s="144"/>
      <c r="AD147" s="144"/>
    </row>
    <row r="148" spans="1:30" s="18" customFormat="1">
      <c r="A148" s="315"/>
      <c r="B148" s="253"/>
      <c r="C148" s="141" t="s">
        <v>79</v>
      </c>
      <c r="D148" s="218"/>
      <c r="E148" s="140"/>
      <c r="F148" s="140"/>
      <c r="G148" s="140"/>
      <c r="H148" s="188">
        <v>3</v>
      </c>
      <c r="I148" s="188"/>
      <c r="J148" s="188">
        <v>3.51</v>
      </c>
      <c r="K148" s="188"/>
      <c r="L148" s="188">
        <v>3.51</v>
      </c>
      <c r="M148" s="188">
        <v>3.51</v>
      </c>
      <c r="N148" s="188">
        <v>4</v>
      </c>
      <c r="O148" s="140"/>
      <c r="P148" s="144"/>
      <c r="Q148" s="144"/>
      <c r="R148" s="144"/>
      <c r="S148" s="144"/>
      <c r="T148" s="144"/>
      <c r="U148" s="144"/>
      <c r="V148" s="144"/>
      <c r="W148" s="144"/>
      <c r="X148" s="144"/>
      <c r="Y148" s="144"/>
      <c r="Z148" s="144"/>
      <c r="AA148" s="144"/>
      <c r="AB148" s="144"/>
      <c r="AC148" s="144"/>
      <c r="AD148" s="144"/>
    </row>
    <row r="149" spans="1:30" s="18" customFormat="1">
      <c r="A149" s="315"/>
      <c r="B149" s="253"/>
      <c r="C149" s="141" t="s">
        <v>58</v>
      </c>
      <c r="D149" s="218"/>
      <c r="E149" s="140"/>
      <c r="F149" s="140"/>
      <c r="G149" s="140"/>
      <c r="H149" s="183">
        <v>3</v>
      </c>
      <c r="I149" s="183"/>
      <c r="J149" s="183">
        <v>3.51</v>
      </c>
      <c r="K149" s="183"/>
      <c r="L149" s="183">
        <v>3.51</v>
      </c>
      <c r="M149" s="183">
        <v>3.51</v>
      </c>
      <c r="N149" s="183">
        <v>4</v>
      </c>
      <c r="O149" s="140"/>
      <c r="P149" s="144"/>
      <c r="Q149" s="144"/>
      <c r="R149" s="144"/>
      <c r="S149" s="144"/>
      <c r="T149" s="144"/>
      <c r="U149" s="144"/>
      <c r="V149" s="144"/>
      <c r="W149" s="144"/>
      <c r="X149" s="144"/>
      <c r="Y149" s="144"/>
      <c r="Z149" s="144"/>
      <c r="AA149" s="144"/>
      <c r="AB149" s="144"/>
      <c r="AC149" s="144"/>
      <c r="AD149" s="144"/>
    </row>
    <row r="150" spans="1:30" s="18" customFormat="1">
      <c r="A150" s="315"/>
      <c r="B150" s="253"/>
      <c r="C150" s="141" t="s">
        <v>21</v>
      </c>
      <c r="D150" s="218"/>
      <c r="E150" s="140"/>
      <c r="F150" s="140"/>
      <c r="G150" s="140"/>
      <c r="H150" s="183">
        <v>3</v>
      </c>
      <c r="I150" s="183"/>
      <c r="J150" s="183">
        <v>3.51</v>
      </c>
      <c r="K150" s="183"/>
      <c r="L150" s="183">
        <v>3.51</v>
      </c>
      <c r="M150" s="183">
        <v>3.51</v>
      </c>
      <c r="N150" s="183">
        <v>4</v>
      </c>
      <c r="O150" s="140"/>
      <c r="P150" s="144"/>
      <c r="Q150" s="144"/>
      <c r="R150" s="144"/>
      <c r="S150" s="144"/>
      <c r="T150" s="144"/>
      <c r="U150" s="144"/>
      <c r="V150" s="144"/>
      <c r="W150" s="144"/>
      <c r="X150" s="144"/>
      <c r="Y150" s="144"/>
      <c r="Z150" s="144"/>
      <c r="AA150" s="144"/>
      <c r="AB150" s="144"/>
      <c r="AC150" s="144"/>
      <c r="AD150" s="144"/>
    </row>
    <row r="151" spans="1:30" s="18" customFormat="1">
      <c r="A151" s="315"/>
      <c r="B151" s="253"/>
      <c r="C151" s="141" t="s">
        <v>24</v>
      </c>
      <c r="D151" s="218"/>
      <c r="E151" s="140"/>
      <c r="F151" s="140"/>
      <c r="G151" s="140"/>
      <c r="H151" s="182">
        <v>3</v>
      </c>
      <c r="I151" s="182"/>
      <c r="J151" s="182">
        <v>3</v>
      </c>
      <c r="K151" s="182"/>
      <c r="L151" s="182">
        <v>3</v>
      </c>
      <c r="M151" s="182">
        <v>3</v>
      </c>
      <c r="N151" s="183">
        <v>3.5</v>
      </c>
      <c r="O151" s="140"/>
      <c r="P151" s="144"/>
      <c r="Q151" s="144"/>
      <c r="R151" s="144"/>
      <c r="S151" s="144"/>
      <c r="T151" s="144"/>
      <c r="U151" s="144"/>
      <c r="V151" s="144"/>
      <c r="W151" s="144"/>
      <c r="X151" s="144"/>
      <c r="Y151" s="144"/>
      <c r="Z151" s="144"/>
      <c r="AA151" s="144"/>
      <c r="AB151" s="144"/>
      <c r="AC151" s="144"/>
      <c r="AD151" s="144"/>
    </row>
    <row r="152" spans="1:30" s="18" customFormat="1">
      <c r="A152" s="315"/>
      <c r="B152" s="253"/>
      <c r="C152" s="141" t="s">
        <v>50</v>
      </c>
      <c r="D152" s="218"/>
      <c r="E152" s="140"/>
      <c r="F152" s="140"/>
      <c r="G152" s="140"/>
      <c r="H152" s="183">
        <v>3</v>
      </c>
      <c r="I152" s="183"/>
      <c r="J152" s="183">
        <v>3.5</v>
      </c>
      <c r="K152" s="183"/>
      <c r="L152" s="183">
        <v>3.5</v>
      </c>
      <c r="M152" s="183">
        <v>4</v>
      </c>
      <c r="N152" s="183">
        <v>4</v>
      </c>
      <c r="O152" s="140"/>
      <c r="P152" s="144"/>
      <c r="Q152" s="144"/>
      <c r="R152" s="144"/>
      <c r="S152" s="144"/>
      <c r="T152" s="144"/>
      <c r="U152" s="144"/>
      <c r="V152" s="144"/>
      <c r="W152" s="144"/>
      <c r="X152" s="144"/>
      <c r="Y152" s="144"/>
      <c r="Z152" s="144"/>
      <c r="AA152" s="144"/>
      <c r="AB152" s="144"/>
      <c r="AC152" s="144"/>
      <c r="AD152" s="144"/>
    </row>
    <row r="153" spans="1:30" s="18" customFormat="1" ht="24.75" thickBot="1">
      <c r="A153" s="316"/>
      <c r="B153" s="254"/>
      <c r="C153" s="145" t="s">
        <v>14</v>
      </c>
      <c r="D153" s="278"/>
      <c r="E153" s="146"/>
      <c r="F153" s="146"/>
      <c r="G153" s="146"/>
      <c r="H153" s="221">
        <v>3</v>
      </c>
      <c r="I153" s="221"/>
      <c r="J153" s="221">
        <v>3</v>
      </c>
      <c r="K153" s="221"/>
      <c r="L153" s="221">
        <v>3</v>
      </c>
      <c r="M153" s="221">
        <v>3</v>
      </c>
      <c r="N153" s="189">
        <v>3.5</v>
      </c>
      <c r="O153" s="146"/>
      <c r="P153" s="144"/>
      <c r="Q153" s="144"/>
      <c r="R153" s="144"/>
      <c r="S153" s="144"/>
      <c r="T153" s="144"/>
      <c r="U153" s="144"/>
      <c r="V153" s="144"/>
      <c r="W153" s="144"/>
      <c r="X153" s="144"/>
      <c r="Y153" s="144"/>
      <c r="Z153" s="144"/>
      <c r="AA153" s="144"/>
      <c r="AB153" s="144"/>
      <c r="AC153" s="144"/>
      <c r="AD153" s="144"/>
    </row>
    <row r="154" spans="1:30" s="18" customFormat="1" ht="72" customHeight="1">
      <c r="A154" s="317" t="s">
        <v>418</v>
      </c>
      <c r="B154" s="251" t="s">
        <v>122</v>
      </c>
      <c r="C154" s="296" t="s">
        <v>356</v>
      </c>
      <c r="D154" s="297" t="s">
        <v>402</v>
      </c>
      <c r="E154" s="296"/>
      <c r="F154" s="296"/>
      <c r="G154" s="296"/>
      <c r="H154" s="298">
        <v>4</v>
      </c>
      <c r="I154" s="298">
        <v>3.3636363636363638</v>
      </c>
      <c r="J154" s="298">
        <v>4.5</v>
      </c>
      <c r="K154" s="298"/>
      <c r="L154" s="298"/>
      <c r="M154" s="298"/>
      <c r="N154" s="298"/>
      <c r="O154" s="147"/>
      <c r="P154" s="144"/>
      <c r="Q154" s="144"/>
      <c r="R154" s="144"/>
      <c r="S154" s="144"/>
      <c r="T154" s="144"/>
      <c r="U154" s="144"/>
      <c r="V154" s="144"/>
      <c r="W154" s="144"/>
      <c r="X154" s="144"/>
      <c r="Y154" s="144"/>
      <c r="Z154" s="144"/>
      <c r="AA154" s="144"/>
      <c r="AB154" s="144"/>
      <c r="AC154" s="144"/>
      <c r="AD154" s="144"/>
    </row>
    <row r="155" spans="1:30" s="18" customFormat="1">
      <c r="A155" s="315"/>
      <c r="B155" s="252"/>
      <c r="C155" s="141" t="s">
        <v>110</v>
      </c>
      <c r="D155" s="218"/>
      <c r="E155" s="140"/>
      <c r="F155" s="140"/>
      <c r="G155" s="140"/>
      <c r="H155" s="183">
        <v>4</v>
      </c>
      <c r="I155" s="183"/>
      <c r="J155" s="183">
        <v>4</v>
      </c>
      <c r="K155" s="183"/>
      <c r="L155" s="183">
        <v>5</v>
      </c>
      <c r="M155" s="183">
        <v>5</v>
      </c>
      <c r="N155" s="183">
        <v>5</v>
      </c>
      <c r="O155" s="140"/>
      <c r="P155" s="144"/>
      <c r="Q155" s="144"/>
      <c r="R155" s="144"/>
      <c r="S155" s="144"/>
      <c r="T155" s="144"/>
      <c r="U155" s="144"/>
      <c r="V155" s="144"/>
      <c r="W155" s="144"/>
      <c r="X155" s="144"/>
      <c r="Y155" s="144"/>
      <c r="Z155" s="144"/>
      <c r="AA155" s="144"/>
      <c r="AB155" s="144"/>
      <c r="AC155" s="144"/>
      <c r="AD155" s="144"/>
    </row>
    <row r="156" spans="1:30" s="18" customFormat="1">
      <c r="A156" s="315"/>
      <c r="B156" s="252"/>
      <c r="C156" s="141" t="s">
        <v>56</v>
      </c>
      <c r="D156" s="218"/>
      <c r="E156" s="140"/>
      <c r="F156" s="140"/>
      <c r="G156" s="140"/>
      <c r="H156" s="188">
        <v>4</v>
      </c>
      <c r="I156" s="188"/>
      <c r="J156" s="188">
        <v>5</v>
      </c>
      <c r="K156" s="188"/>
      <c r="L156" s="188">
        <v>5</v>
      </c>
      <c r="M156" s="188">
        <v>5</v>
      </c>
      <c r="N156" s="188">
        <v>5</v>
      </c>
      <c r="O156" s="140"/>
      <c r="P156" s="144"/>
      <c r="Q156" s="144"/>
      <c r="R156" s="144"/>
      <c r="S156" s="144"/>
      <c r="T156" s="144"/>
      <c r="U156" s="144"/>
      <c r="V156" s="144"/>
      <c r="W156" s="144"/>
      <c r="X156" s="144"/>
      <c r="Y156" s="144"/>
      <c r="Z156" s="144"/>
      <c r="AA156" s="144"/>
      <c r="AB156" s="144"/>
      <c r="AC156" s="144"/>
      <c r="AD156" s="144"/>
    </row>
    <row r="157" spans="1:30" s="18" customFormat="1">
      <c r="A157" s="315"/>
      <c r="B157" s="252"/>
      <c r="C157" s="141" t="s">
        <v>94</v>
      </c>
      <c r="D157" s="218"/>
      <c r="E157" s="140"/>
      <c r="F157" s="140"/>
      <c r="G157" s="140"/>
      <c r="H157" s="188">
        <v>5</v>
      </c>
      <c r="I157" s="188"/>
      <c r="J157" s="188">
        <v>5</v>
      </c>
      <c r="K157" s="188"/>
      <c r="L157" s="188">
        <v>5</v>
      </c>
      <c r="M157" s="188">
        <v>5</v>
      </c>
      <c r="N157" s="188">
        <v>5</v>
      </c>
      <c r="O157" s="140"/>
      <c r="P157" s="144"/>
      <c r="Q157" s="144"/>
      <c r="R157" s="144"/>
      <c r="S157" s="144"/>
      <c r="T157" s="144"/>
      <c r="U157" s="144"/>
      <c r="V157" s="144"/>
      <c r="W157" s="144"/>
      <c r="X157" s="144"/>
      <c r="Y157" s="144"/>
      <c r="Z157" s="144"/>
      <c r="AA157" s="144"/>
      <c r="AB157" s="144"/>
      <c r="AC157" s="144"/>
      <c r="AD157" s="144"/>
    </row>
    <row r="158" spans="1:30" s="18" customFormat="1">
      <c r="A158" s="315"/>
      <c r="B158" s="252"/>
      <c r="C158" s="141" t="s">
        <v>95</v>
      </c>
      <c r="D158" s="218"/>
      <c r="E158" s="140"/>
      <c r="F158" s="140"/>
      <c r="G158" s="140"/>
      <c r="H158" s="188">
        <v>4</v>
      </c>
      <c r="I158" s="188"/>
      <c r="J158" s="188">
        <v>4.5</v>
      </c>
      <c r="K158" s="188"/>
      <c r="L158" s="188">
        <v>5</v>
      </c>
      <c r="M158" s="188">
        <v>5</v>
      </c>
      <c r="N158" s="188">
        <v>5</v>
      </c>
      <c r="O158" s="140"/>
      <c r="P158" s="144"/>
      <c r="Q158" s="144"/>
      <c r="R158" s="144"/>
      <c r="S158" s="144"/>
      <c r="T158" s="144"/>
      <c r="U158" s="144"/>
      <c r="V158" s="144"/>
      <c r="W158" s="144"/>
      <c r="X158" s="144"/>
      <c r="Y158" s="144"/>
      <c r="Z158" s="144"/>
      <c r="AA158" s="144"/>
      <c r="AB158" s="144"/>
      <c r="AC158" s="144"/>
      <c r="AD158" s="144"/>
    </row>
    <row r="159" spans="1:30" s="18" customFormat="1">
      <c r="A159" s="315"/>
      <c r="B159" s="252"/>
      <c r="C159" s="141" t="s">
        <v>123</v>
      </c>
      <c r="D159" s="218"/>
      <c r="E159" s="140"/>
      <c r="F159" s="140"/>
      <c r="G159" s="140"/>
      <c r="H159" s="188">
        <v>4</v>
      </c>
      <c r="I159" s="188"/>
      <c r="J159" s="188">
        <v>5</v>
      </c>
      <c r="K159" s="188"/>
      <c r="L159" s="188">
        <v>5</v>
      </c>
      <c r="M159" s="188">
        <v>5</v>
      </c>
      <c r="N159" s="188">
        <v>5</v>
      </c>
      <c r="O159" s="140"/>
      <c r="P159" s="144"/>
      <c r="Q159" s="144"/>
      <c r="R159" s="144"/>
      <c r="S159" s="144"/>
      <c r="T159" s="144"/>
      <c r="U159" s="144"/>
      <c r="V159" s="144"/>
      <c r="W159" s="144"/>
      <c r="X159" s="144"/>
      <c r="Y159" s="144"/>
      <c r="Z159" s="144"/>
      <c r="AA159" s="144"/>
      <c r="AB159" s="144"/>
      <c r="AC159" s="144"/>
      <c r="AD159" s="144"/>
    </row>
    <row r="160" spans="1:30" s="18" customFormat="1">
      <c r="A160" s="315"/>
      <c r="B160" s="252"/>
      <c r="C160" s="141" t="s">
        <v>76</v>
      </c>
      <c r="D160" s="218"/>
      <c r="E160" s="140"/>
      <c r="F160" s="140"/>
      <c r="G160" s="140"/>
      <c r="H160" s="188">
        <v>4</v>
      </c>
      <c r="I160" s="188"/>
      <c r="J160" s="188">
        <v>5</v>
      </c>
      <c r="K160" s="188"/>
      <c r="L160" s="188">
        <v>5</v>
      </c>
      <c r="M160" s="188">
        <v>5</v>
      </c>
      <c r="N160" s="188">
        <v>5</v>
      </c>
      <c r="O160" s="140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  <c r="AA160" s="144"/>
      <c r="AB160" s="144"/>
      <c r="AC160" s="144"/>
      <c r="AD160" s="144"/>
    </row>
    <row r="161" spans="1:30" s="18" customFormat="1">
      <c r="A161" s="315"/>
      <c r="B161" s="252"/>
      <c r="C161" s="141" t="s">
        <v>79</v>
      </c>
      <c r="D161" s="218"/>
      <c r="E161" s="140"/>
      <c r="F161" s="140"/>
      <c r="G161" s="140"/>
      <c r="H161" s="188">
        <v>4</v>
      </c>
      <c r="I161" s="188"/>
      <c r="J161" s="188">
        <v>5</v>
      </c>
      <c r="K161" s="188"/>
      <c r="L161" s="188">
        <v>5</v>
      </c>
      <c r="M161" s="188">
        <v>5</v>
      </c>
      <c r="N161" s="188">
        <v>5</v>
      </c>
      <c r="O161" s="140"/>
      <c r="P161" s="144"/>
      <c r="Q161" s="144"/>
      <c r="R161" s="144"/>
      <c r="S161" s="144"/>
      <c r="T161" s="144"/>
      <c r="U161" s="144"/>
      <c r="V161" s="144"/>
      <c r="W161" s="144"/>
      <c r="X161" s="144"/>
      <c r="Y161" s="144"/>
      <c r="Z161" s="144"/>
      <c r="AA161" s="144"/>
      <c r="AB161" s="144"/>
      <c r="AC161" s="144"/>
      <c r="AD161" s="144"/>
    </row>
    <row r="162" spans="1:30" s="18" customFormat="1">
      <c r="A162" s="315"/>
      <c r="B162" s="252"/>
      <c r="C162" s="141" t="s">
        <v>58</v>
      </c>
      <c r="D162" s="218"/>
      <c r="E162" s="140"/>
      <c r="F162" s="140"/>
      <c r="G162" s="140"/>
      <c r="H162" s="188">
        <v>4</v>
      </c>
      <c r="I162" s="188"/>
      <c r="J162" s="188">
        <v>5</v>
      </c>
      <c r="K162" s="188"/>
      <c r="L162" s="188">
        <v>5</v>
      </c>
      <c r="M162" s="188">
        <v>5</v>
      </c>
      <c r="N162" s="188">
        <v>5</v>
      </c>
      <c r="O162" s="140"/>
      <c r="P162" s="144"/>
      <c r="Q162" s="144"/>
      <c r="R162" s="144"/>
      <c r="S162" s="144"/>
      <c r="T162" s="144"/>
      <c r="U162" s="144"/>
      <c r="V162" s="144"/>
      <c r="W162" s="144"/>
      <c r="X162" s="144"/>
      <c r="Y162" s="144"/>
      <c r="Z162" s="144"/>
      <c r="AA162" s="144"/>
      <c r="AB162" s="144"/>
      <c r="AC162" s="144"/>
      <c r="AD162" s="144"/>
    </row>
    <row r="163" spans="1:30" s="18" customFormat="1">
      <c r="A163" s="315"/>
      <c r="B163" s="252"/>
      <c r="C163" s="141" t="s">
        <v>21</v>
      </c>
      <c r="D163" s="218"/>
      <c r="E163" s="140"/>
      <c r="F163" s="140"/>
      <c r="G163" s="140"/>
      <c r="H163" s="188">
        <v>5</v>
      </c>
      <c r="I163" s="188"/>
      <c r="J163" s="188">
        <v>5</v>
      </c>
      <c r="K163" s="188"/>
      <c r="L163" s="188">
        <v>5</v>
      </c>
      <c r="M163" s="188">
        <v>5</v>
      </c>
      <c r="N163" s="188">
        <v>5</v>
      </c>
      <c r="O163" s="140"/>
      <c r="P163" s="144"/>
      <c r="Q163" s="144"/>
      <c r="R163" s="144"/>
      <c r="S163" s="144"/>
      <c r="T163" s="144"/>
      <c r="U163" s="144"/>
      <c r="V163" s="144"/>
      <c r="W163" s="144"/>
      <c r="X163" s="144"/>
      <c r="Y163" s="144"/>
      <c r="Z163" s="144"/>
      <c r="AA163" s="144"/>
      <c r="AB163" s="144"/>
      <c r="AC163" s="144"/>
      <c r="AD163" s="144"/>
    </row>
    <row r="164" spans="1:30" s="18" customFormat="1">
      <c r="A164" s="315"/>
      <c r="B164" s="252"/>
      <c r="C164" s="141" t="s">
        <v>24</v>
      </c>
      <c r="D164" s="218"/>
      <c r="E164" s="140"/>
      <c r="F164" s="140"/>
      <c r="G164" s="140"/>
      <c r="H164" s="188">
        <v>4</v>
      </c>
      <c r="I164" s="188"/>
      <c r="J164" s="188">
        <v>4.5</v>
      </c>
      <c r="K164" s="188"/>
      <c r="L164" s="188">
        <v>5</v>
      </c>
      <c r="M164" s="188">
        <v>5</v>
      </c>
      <c r="N164" s="188">
        <v>5</v>
      </c>
      <c r="O164" s="140"/>
      <c r="P164" s="144"/>
      <c r="Q164" s="144"/>
      <c r="R164" s="144"/>
      <c r="S164" s="144"/>
      <c r="T164" s="144"/>
      <c r="U164" s="144"/>
      <c r="V164" s="144"/>
      <c r="W164" s="144"/>
      <c r="X164" s="144"/>
      <c r="Y164" s="144"/>
      <c r="Z164" s="144"/>
      <c r="AA164" s="144"/>
      <c r="AB164" s="144"/>
      <c r="AC164" s="144"/>
      <c r="AD164" s="144"/>
    </row>
    <row r="165" spans="1:30" s="18" customFormat="1">
      <c r="A165" s="315"/>
      <c r="B165" s="252"/>
      <c r="C165" s="141" t="s">
        <v>50</v>
      </c>
      <c r="D165" s="218"/>
      <c r="E165" s="140"/>
      <c r="F165" s="140"/>
      <c r="G165" s="140"/>
      <c r="H165" s="188">
        <v>4</v>
      </c>
      <c r="I165" s="188"/>
      <c r="J165" s="188">
        <v>4.5</v>
      </c>
      <c r="K165" s="188"/>
      <c r="L165" s="188">
        <v>5</v>
      </c>
      <c r="M165" s="188">
        <v>5</v>
      </c>
      <c r="N165" s="188">
        <v>5</v>
      </c>
      <c r="O165" s="140"/>
      <c r="P165" s="144"/>
      <c r="Q165" s="144"/>
      <c r="R165" s="144"/>
      <c r="S165" s="144"/>
      <c r="T165" s="144"/>
      <c r="U165" s="144"/>
      <c r="V165" s="144"/>
      <c r="W165" s="144"/>
      <c r="X165" s="144"/>
      <c r="Y165" s="144"/>
      <c r="Z165" s="144"/>
      <c r="AA165" s="144"/>
      <c r="AB165" s="144"/>
      <c r="AC165" s="144"/>
      <c r="AD165" s="144"/>
    </row>
    <row r="166" spans="1:30" s="18" customFormat="1">
      <c r="A166" s="315"/>
      <c r="B166" s="252"/>
      <c r="C166" s="142" t="s">
        <v>14</v>
      </c>
      <c r="D166" s="277"/>
      <c r="E166" s="143"/>
      <c r="F166" s="143"/>
      <c r="G166" s="143"/>
      <c r="H166" s="184">
        <v>4</v>
      </c>
      <c r="I166" s="184"/>
      <c r="J166" s="184">
        <v>4.5</v>
      </c>
      <c r="K166" s="184"/>
      <c r="L166" s="184">
        <v>5</v>
      </c>
      <c r="M166" s="184">
        <v>5</v>
      </c>
      <c r="N166" s="184">
        <v>5</v>
      </c>
      <c r="O166" s="143"/>
      <c r="P166" s="144"/>
      <c r="Q166" s="144"/>
      <c r="R166" s="144"/>
      <c r="S166" s="144"/>
      <c r="T166" s="144"/>
      <c r="U166" s="144"/>
      <c r="V166" s="144"/>
      <c r="W166" s="144"/>
      <c r="X166" s="144"/>
      <c r="Y166" s="144"/>
      <c r="Z166" s="144"/>
      <c r="AA166" s="144"/>
      <c r="AB166" s="144"/>
      <c r="AC166" s="144"/>
      <c r="AD166" s="144"/>
    </row>
    <row r="167" spans="1:30" s="18" customFormat="1" ht="78" customHeight="1">
      <c r="A167" s="315"/>
      <c r="B167" s="252"/>
      <c r="C167" s="291" t="s">
        <v>357</v>
      </c>
      <c r="D167" s="261" t="s">
        <v>119</v>
      </c>
      <c r="E167" s="291"/>
      <c r="F167" s="291"/>
      <c r="G167" s="291"/>
      <c r="H167" s="300">
        <v>80</v>
      </c>
      <c r="I167" s="300">
        <v>86.125833333333333</v>
      </c>
      <c r="J167" s="300">
        <v>80</v>
      </c>
      <c r="K167" s="300"/>
      <c r="L167" s="300"/>
      <c r="M167" s="300"/>
      <c r="N167" s="300"/>
      <c r="O167" s="140"/>
      <c r="P167" s="144"/>
      <c r="Q167" s="144"/>
      <c r="R167" s="144"/>
      <c r="S167" s="144"/>
      <c r="T167" s="144"/>
      <c r="U167" s="144"/>
      <c r="V167" s="144"/>
      <c r="W167" s="144"/>
      <c r="X167" s="144"/>
      <c r="Y167" s="144"/>
      <c r="Z167" s="144"/>
      <c r="AA167" s="144"/>
      <c r="AB167" s="144"/>
      <c r="AC167" s="144"/>
      <c r="AD167" s="144"/>
    </row>
    <row r="168" spans="1:30" s="18" customFormat="1">
      <c r="A168" s="315"/>
      <c r="B168" s="252"/>
      <c r="C168" s="141" t="s">
        <v>110</v>
      </c>
      <c r="D168" s="218"/>
      <c r="E168" s="140"/>
      <c r="F168" s="140"/>
      <c r="G168" s="140"/>
      <c r="H168" s="183">
        <v>80</v>
      </c>
      <c r="I168" s="183"/>
      <c r="J168" s="183">
        <v>80</v>
      </c>
      <c r="K168" s="183"/>
      <c r="L168" s="183">
        <v>80</v>
      </c>
      <c r="M168" s="183">
        <v>80</v>
      </c>
      <c r="N168" s="183">
        <v>80</v>
      </c>
      <c r="O168" s="140"/>
      <c r="P168" s="144"/>
      <c r="Q168" s="144"/>
      <c r="R168" s="144"/>
      <c r="S168" s="144"/>
      <c r="T168" s="144"/>
      <c r="U168" s="144"/>
      <c r="V168" s="144"/>
      <c r="W168" s="144"/>
      <c r="X168" s="144"/>
      <c r="Y168" s="144"/>
      <c r="Z168" s="144"/>
      <c r="AA168" s="144"/>
      <c r="AB168" s="144"/>
      <c r="AC168" s="144"/>
      <c r="AD168" s="144"/>
    </row>
    <row r="169" spans="1:30" s="18" customFormat="1">
      <c r="A169" s="315"/>
      <c r="B169" s="252"/>
      <c r="C169" s="141" t="s">
        <v>56</v>
      </c>
      <c r="D169" s="218"/>
      <c r="E169" s="140"/>
      <c r="F169" s="140"/>
      <c r="G169" s="140"/>
      <c r="H169" s="183">
        <v>80</v>
      </c>
      <c r="I169" s="183"/>
      <c r="J169" s="183">
        <v>80</v>
      </c>
      <c r="K169" s="183"/>
      <c r="L169" s="183">
        <v>80</v>
      </c>
      <c r="M169" s="183">
        <v>80</v>
      </c>
      <c r="N169" s="183">
        <v>80</v>
      </c>
      <c r="O169" s="140"/>
      <c r="P169" s="144"/>
      <c r="Q169" s="144"/>
      <c r="R169" s="144"/>
      <c r="S169" s="144"/>
      <c r="T169" s="144"/>
      <c r="U169" s="144"/>
      <c r="V169" s="144"/>
      <c r="W169" s="144"/>
      <c r="X169" s="144"/>
      <c r="Y169" s="144"/>
      <c r="Z169" s="144"/>
      <c r="AA169" s="144"/>
      <c r="AB169" s="144"/>
      <c r="AC169" s="144"/>
      <c r="AD169" s="144"/>
    </row>
    <row r="170" spans="1:30" s="18" customFormat="1">
      <c r="A170" s="315"/>
      <c r="B170" s="252"/>
      <c r="C170" s="141" t="s">
        <v>94</v>
      </c>
      <c r="D170" s="218"/>
      <c r="E170" s="140"/>
      <c r="F170" s="140"/>
      <c r="G170" s="140"/>
      <c r="H170" s="183">
        <v>80</v>
      </c>
      <c r="I170" s="183"/>
      <c r="J170" s="183">
        <v>80</v>
      </c>
      <c r="K170" s="183"/>
      <c r="L170" s="183">
        <v>80</v>
      </c>
      <c r="M170" s="183">
        <v>80</v>
      </c>
      <c r="N170" s="183">
        <v>80</v>
      </c>
      <c r="O170" s="140"/>
      <c r="P170" s="144"/>
      <c r="Q170" s="144"/>
      <c r="R170" s="144"/>
      <c r="S170" s="144"/>
      <c r="T170" s="144"/>
      <c r="U170" s="144"/>
      <c r="V170" s="144"/>
      <c r="W170" s="144"/>
      <c r="X170" s="144"/>
      <c r="Y170" s="144"/>
      <c r="Z170" s="144"/>
      <c r="AA170" s="144"/>
      <c r="AB170" s="144"/>
      <c r="AC170" s="144"/>
      <c r="AD170" s="144"/>
    </row>
    <row r="171" spans="1:30" s="18" customFormat="1">
      <c r="A171" s="315"/>
      <c r="B171" s="252"/>
      <c r="C171" s="141" t="s">
        <v>95</v>
      </c>
      <c r="D171" s="218"/>
      <c r="E171" s="140"/>
      <c r="F171" s="140"/>
      <c r="G171" s="140"/>
      <c r="H171" s="183">
        <v>80</v>
      </c>
      <c r="I171" s="183"/>
      <c r="J171" s="183">
        <v>82</v>
      </c>
      <c r="K171" s="183"/>
      <c r="L171" s="183">
        <v>84</v>
      </c>
      <c r="M171" s="183">
        <v>86</v>
      </c>
      <c r="N171" s="183">
        <v>88</v>
      </c>
      <c r="O171" s="140"/>
      <c r="P171" s="144"/>
      <c r="Q171" s="144"/>
      <c r="R171" s="144"/>
      <c r="S171" s="144"/>
      <c r="T171" s="144"/>
      <c r="U171" s="144"/>
      <c r="V171" s="144"/>
      <c r="W171" s="144"/>
      <c r="X171" s="144"/>
      <c r="Y171" s="144"/>
      <c r="Z171" s="144"/>
      <c r="AA171" s="144"/>
      <c r="AB171" s="144"/>
      <c r="AC171" s="144"/>
      <c r="AD171" s="144"/>
    </row>
    <row r="172" spans="1:30" s="18" customFormat="1">
      <c r="A172" s="315"/>
      <c r="B172" s="252"/>
      <c r="C172" s="148" t="s">
        <v>123</v>
      </c>
      <c r="D172" s="280"/>
      <c r="E172" s="267"/>
      <c r="F172" s="267"/>
      <c r="G172" s="267"/>
      <c r="H172" s="191">
        <v>80</v>
      </c>
      <c r="I172" s="191"/>
      <c r="J172" s="191">
        <v>80</v>
      </c>
      <c r="K172" s="191"/>
      <c r="L172" s="191">
        <v>80</v>
      </c>
      <c r="M172" s="191">
        <v>80</v>
      </c>
      <c r="N172" s="191">
        <v>80</v>
      </c>
      <c r="O172" s="140"/>
      <c r="P172" s="144"/>
      <c r="Q172" s="144"/>
      <c r="R172" s="144"/>
      <c r="S172" s="144"/>
      <c r="T172" s="144"/>
      <c r="U172" s="144"/>
      <c r="V172" s="144"/>
      <c r="W172" s="144"/>
      <c r="X172" s="144"/>
      <c r="Y172" s="144"/>
      <c r="Z172" s="144"/>
      <c r="AA172" s="144"/>
      <c r="AB172" s="144"/>
      <c r="AC172" s="144"/>
      <c r="AD172" s="144"/>
    </row>
    <row r="173" spans="1:30" s="18" customFormat="1">
      <c r="A173" s="315"/>
      <c r="B173" s="252"/>
      <c r="C173" s="141" t="s">
        <v>76</v>
      </c>
      <c r="D173" s="218"/>
      <c r="E173" s="140"/>
      <c r="F173" s="140"/>
      <c r="G173" s="140"/>
      <c r="H173" s="183">
        <v>80</v>
      </c>
      <c r="I173" s="183"/>
      <c r="J173" s="183">
        <v>80</v>
      </c>
      <c r="K173" s="183"/>
      <c r="L173" s="183">
        <v>80</v>
      </c>
      <c r="M173" s="183">
        <v>80</v>
      </c>
      <c r="N173" s="183">
        <v>80</v>
      </c>
      <c r="O173" s="140"/>
      <c r="P173" s="144"/>
      <c r="Q173" s="144"/>
      <c r="R173" s="144"/>
      <c r="S173" s="144"/>
      <c r="T173" s="144"/>
      <c r="U173" s="144"/>
      <c r="V173" s="144"/>
      <c r="W173" s="144"/>
      <c r="X173" s="144"/>
      <c r="Y173" s="144"/>
      <c r="Z173" s="144"/>
      <c r="AA173" s="144"/>
      <c r="AB173" s="144"/>
      <c r="AC173" s="144"/>
      <c r="AD173" s="144"/>
    </row>
    <row r="174" spans="1:30" s="18" customFormat="1">
      <c r="A174" s="315"/>
      <c r="B174" s="252"/>
      <c r="C174" s="141" t="s">
        <v>79</v>
      </c>
      <c r="D174" s="218"/>
      <c r="E174" s="140"/>
      <c r="F174" s="140"/>
      <c r="G174" s="140"/>
      <c r="H174" s="183">
        <v>80</v>
      </c>
      <c r="I174" s="183"/>
      <c r="J174" s="183">
        <v>80</v>
      </c>
      <c r="K174" s="183"/>
      <c r="L174" s="183">
        <v>80</v>
      </c>
      <c r="M174" s="183">
        <v>80</v>
      </c>
      <c r="N174" s="183">
        <v>80</v>
      </c>
      <c r="O174" s="140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  <c r="AA174" s="144"/>
      <c r="AB174" s="144"/>
      <c r="AC174" s="144"/>
      <c r="AD174" s="144"/>
    </row>
    <row r="175" spans="1:30" s="18" customFormat="1">
      <c r="A175" s="315"/>
      <c r="B175" s="252"/>
      <c r="C175" s="141" t="s">
        <v>58</v>
      </c>
      <c r="D175" s="218"/>
      <c r="E175" s="140"/>
      <c r="F175" s="140"/>
      <c r="G175" s="140"/>
      <c r="H175" s="183">
        <v>80</v>
      </c>
      <c r="I175" s="183"/>
      <c r="J175" s="183">
        <v>80</v>
      </c>
      <c r="K175" s="183"/>
      <c r="L175" s="183">
        <v>80</v>
      </c>
      <c r="M175" s="183">
        <v>80</v>
      </c>
      <c r="N175" s="183">
        <v>80</v>
      </c>
      <c r="O175" s="140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  <c r="AA175" s="144"/>
      <c r="AB175" s="144"/>
      <c r="AC175" s="144"/>
      <c r="AD175" s="144"/>
    </row>
    <row r="176" spans="1:30" s="18" customFormat="1">
      <c r="A176" s="315"/>
      <c r="B176" s="252"/>
      <c r="C176" s="141" t="s">
        <v>21</v>
      </c>
      <c r="D176" s="218"/>
      <c r="E176" s="140"/>
      <c r="F176" s="140"/>
      <c r="G176" s="140"/>
      <c r="H176" s="183">
        <v>80</v>
      </c>
      <c r="I176" s="183"/>
      <c r="J176" s="183">
        <v>80</v>
      </c>
      <c r="K176" s="183"/>
      <c r="L176" s="183">
        <v>80</v>
      </c>
      <c r="M176" s="183">
        <v>80</v>
      </c>
      <c r="N176" s="183">
        <v>80</v>
      </c>
      <c r="O176" s="140"/>
      <c r="P176" s="144"/>
      <c r="Q176" s="144"/>
      <c r="R176" s="144"/>
      <c r="S176" s="144"/>
      <c r="T176" s="144"/>
      <c r="U176" s="144"/>
      <c r="V176" s="144"/>
      <c r="W176" s="144"/>
      <c r="X176" s="144"/>
      <c r="Y176" s="144"/>
      <c r="Z176" s="144"/>
      <c r="AA176" s="144"/>
      <c r="AB176" s="144"/>
      <c r="AC176" s="144"/>
      <c r="AD176" s="144"/>
    </row>
    <row r="177" spans="1:30" s="18" customFormat="1">
      <c r="A177" s="315"/>
      <c r="B177" s="252"/>
      <c r="C177" s="141" t="s">
        <v>24</v>
      </c>
      <c r="D177" s="218"/>
      <c r="E177" s="140"/>
      <c r="F177" s="140"/>
      <c r="G177" s="140"/>
      <c r="H177" s="183">
        <v>80</v>
      </c>
      <c r="I177" s="183"/>
      <c r="J177" s="183">
        <v>80</v>
      </c>
      <c r="K177" s="183"/>
      <c r="L177" s="183">
        <v>80</v>
      </c>
      <c r="M177" s="183">
        <v>80</v>
      </c>
      <c r="N177" s="183">
        <v>80</v>
      </c>
      <c r="O177" s="140"/>
      <c r="P177" s="144"/>
      <c r="Q177" s="144"/>
      <c r="R177" s="144"/>
      <c r="S177" s="144"/>
      <c r="T177" s="144"/>
      <c r="U177" s="144"/>
      <c r="V177" s="144"/>
      <c r="W177" s="144"/>
      <c r="X177" s="144"/>
      <c r="Y177" s="144"/>
      <c r="Z177" s="144"/>
      <c r="AA177" s="144"/>
      <c r="AB177" s="144"/>
      <c r="AC177" s="144"/>
      <c r="AD177" s="144"/>
    </row>
    <row r="178" spans="1:30" s="18" customFormat="1">
      <c r="A178" s="315"/>
      <c r="B178" s="252"/>
      <c r="C178" s="141" t="s">
        <v>50</v>
      </c>
      <c r="D178" s="218"/>
      <c r="E178" s="140"/>
      <c r="F178" s="140"/>
      <c r="G178" s="140"/>
      <c r="H178" s="183">
        <v>80</v>
      </c>
      <c r="I178" s="183"/>
      <c r="J178" s="183">
        <v>80</v>
      </c>
      <c r="K178" s="183"/>
      <c r="L178" s="183">
        <v>80</v>
      </c>
      <c r="M178" s="183">
        <v>80</v>
      </c>
      <c r="N178" s="183">
        <v>80</v>
      </c>
      <c r="O178" s="140"/>
      <c r="P178" s="144"/>
      <c r="Q178" s="144"/>
      <c r="R178" s="144"/>
      <c r="S178" s="144"/>
      <c r="T178" s="144"/>
      <c r="U178" s="144"/>
      <c r="V178" s="144"/>
      <c r="W178" s="144"/>
      <c r="X178" s="144"/>
      <c r="Y178" s="144"/>
      <c r="Z178" s="144"/>
      <c r="AA178" s="144"/>
      <c r="AB178" s="144"/>
      <c r="AC178" s="144"/>
      <c r="AD178" s="144"/>
    </row>
    <row r="179" spans="1:30" s="18" customFormat="1">
      <c r="A179" s="315"/>
      <c r="B179" s="252"/>
      <c r="C179" s="29" t="s">
        <v>14</v>
      </c>
      <c r="D179" s="282"/>
      <c r="E179" s="151"/>
      <c r="F179" s="151"/>
      <c r="G179" s="151"/>
      <c r="H179" s="188">
        <v>80</v>
      </c>
      <c r="I179" s="188"/>
      <c r="J179" s="188">
        <v>80</v>
      </c>
      <c r="K179" s="188"/>
      <c r="L179" s="188">
        <v>80</v>
      </c>
      <c r="M179" s="188">
        <v>80</v>
      </c>
      <c r="N179" s="188">
        <v>80</v>
      </c>
      <c r="O179" s="267"/>
      <c r="P179" s="144"/>
      <c r="Q179" s="144"/>
      <c r="R179" s="144"/>
      <c r="S179" s="144"/>
      <c r="T179" s="144"/>
      <c r="U179" s="144"/>
      <c r="V179" s="144"/>
      <c r="W179" s="144"/>
      <c r="X179" s="144"/>
      <c r="Y179" s="144"/>
      <c r="Z179" s="144"/>
      <c r="AA179" s="144"/>
      <c r="AB179" s="144"/>
      <c r="AC179" s="144"/>
      <c r="AD179" s="144"/>
    </row>
    <row r="180" spans="1:30" s="18" customFormat="1" ht="24.75" thickBot="1">
      <c r="A180" s="326"/>
      <c r="B180" s="272"/>
      <c r="C180" s="145" t="s">
        <v>127</v>
      </c>
      <c r="D180" s="278"/>
      <c r="E180" s="146"/>
      <c r="F180" s="146"/>
      <c r="G180" s="146"/>
      <c r="H180" s="189">
        <v>80</v>
      </c>
      <c r="I180" s="189"/>
      <c r="J180" s="189">
        <v>80</v>
      </c>
      <c r="K180" s="189"/>
      <c r="L180" s="189">
        <v>80</v>
      </c>
      <c r="M180" s="189">
        <v>80</v>
      </c>
      <c r="N180" s="189">
        <v>80</v>
      </c>
      <c r="O180" s="150"/>
      <c r="P180" s="144"/>
      <c r="Q180" s="144"/>
      <c r="R180" s="144"/>
      <c r="S180" s="144"/>
      <c r="T180" s="144"/>
      <c r="U180" s="144"/>
      <c r="V180" s="144"/>
      <c r="W180" s="144"/>
      <c r="X180" s="144"/>
      <c r="Y180" s="144"/>
      <c r="Z180" s="144"/>
      <c r="AA180" s="144"/>
      <c r="AB180" s="144"/>
      <c r="AC180" s="144"/>
      <c r="AD180" s="144"/>
    </row>
    <row r="181" spans="1:30" s="172" customFormat="1" ht="50.25" customHeight="1">
      <c r="A181" s="314" t="s">
        <v>419</v>
      </c>
      <c r="B181" s="252" t="s">
        <v>368</v>
      </c>
      <c r="C181" s="296" t="s">
        <v>369</v>
      </c>
      <c r="D181" s="297" t="s">
        <v>413</v>
      </c>
      <c r="E181" s="301"/>
      <c r="F181" s="301"/>
      <c r="G181" s="301"/>
      <c r="H181" s="239">
        <v>4</v>
      </c>
      <c r="I181" s="239">
        <v>3.5818181818181816</v>
      </c>
      <c r="J181" s="239">
        <v>4</v>
      </c>
      <c r="K181" s="239"/>
      <c r="L181" s="239"/>
      <c r="M181" s="239"/>
      <c r="N181" s="239"/>
      <c r="O181" s="192"/>
      <c r="P181" s="171"/>
      <c r="Q181" s="171"/>
      <c r="R181" s="171"/>
      <c r="S181" s="171"/>
      <c r="T181" s="171"/>
      <c r="U181" s="171"/>
      <c r="V181" s="171"/>
      <c r="W181" s="171"/>
      <c r="X181" s="171"/>
      <c r="Y181" s="171"/>
      <c r="Z181" s="171"/>
      <c r="AA181" s="171"/>
      <c r="AB181" s="171"/>
      <c r="AC181" s="171"/>
      <c r="AD181" s="171"/>
    </row>
    <row r="182" spans="1:30">
      <c r="A182" s="315"/>
      <c r="B182" s="252"/>
      <c r="C182" s="141" t="s">
        <v>110</v>
      </c>
      <c r="D182" s="285"/>
      <c r="E182" s="169"/>
      <c r="F182" s="169"/>
      <c r="G182" s="169"/>
      <c r="H182" s="290">
        <v>4</v>
      </c>
      <c r="I182" s="290"/>
      <c r="J182" s="290">
        <v>4</v>
      </c>
      <c r="K182" s="290"/>
      <c r="L182" s="290">
        <v>4</v>
      </c>
      <c r="M182" s="290">
        <v>4</v>
      </c>
      <c r="N182" s="290">
        <v>5</v>
      </c>
      <c r="O182" s="173"/>
    </row>
    <row r="183" spans="1:30">
      <c r="A183" s="315"/>
      <c r="B183" s="252"/>
      <c r="C183" s="29" t="s">
        <v>56</v>
      </c>
      <c r="D183" s="283"/>
      <c r="E183" s="174"/>
      <c r="F183" s="174"/>
      <c r="G183" s="174"/>
      <c r="H183" s="193">
        <v>4</v>
      </c>
      <c r="I183" s="193"/>
      <c r="J183" s="193">
        <v>4</v>
      </c>
      <c r="K183" s="193"/>
      <c r="L183" s="193">
        <v>4</v>
      </c>
      <c r="M183" s="193">
        <v>4</v>
      </c>
      <c r="N183" s="193">
        <v>5</v>
      </c>
      <c r="O183" s="173"/>
    </row>
    <row r="184" spans="1:30">
      <c r="A184" s="315"/>
      <c r="B184" s="252"/>
      <c r="C184" s="29" t="s">
        <v>94</v>
      </c>
      <c r="D184" s="283"/>
      <c r="E184" s="174"/>
      <c r="F184" s="174"/>
      <c r="G184" s="174"/>
      <c r="H184" s="193">
        <v>4</v>
      </c>
      <c r="I184" s="193"/>
      <c r="J184" s="193">
        <v>4</v>
      </c>
      <c r="K184" s="193"/>
      <c r="L184" s="193">
        <v>4</v>
      </c>
      <c r="M184" s="193">
        <v>4</v>
      </c>
      <c r="N184" s="193">
        <v>5</v>
      </c>
      <c r="O184" s="173"/>
    </row>
    <row r="185" spans="1:30">
      <c r="A185" s="315"/>
      <c r="B185" s="252"/>
      <c r="C185" s="29" t="s">
        <v>95</v>
      </c>
      <c r="D185" s="283"/>
      <c r="E185" s="174"/>
      <c r="F185" s="174"/>
      <c r="G185" s="174"/>
      <c r="H185" s="193">
        <v>5</v>
      </c>
      <c r="I185" s="193"/>
      <c r="J185" s="193">
        <v>5</v>
      </c>
      <c r="K185" s="193"/>
      <c r="L185" s="193">
        <v>5</v>
      </c>
      <c r="M185" s="193">
        <v>5</v>
      </c>
      <c r="N185" s="193">
        <v>5</v>
      </c>
      <c r="O185" s="173"/>
    </row>
    <row r="186" spans="1:30">
      <c r="A186" s="315"/>
      <c r="B186" s="252"/>
      <c r="C186" s="29" t="s">
        <v>123</v>
      </c>
      <c r="D186" s="283"/>
      <c r="E186" s="174"/>
      <c r="F186" s="174"/>
      <c r="G186" s="174"/>
      <c r="H186" s="193">
        <v>4</v>
      </c>
      <c r="I186" s="193"/>
      <c r="J186" s="193">
        <v>4</v>
      </c>
      <c r="K186" s="193"/>
      <c r="L186" s="193">
        <v>4</v>
      </c>
      <c r="M186" s="193">
        <v>4</v>
      </c>
      <c r="N186" s="193">
        <v>5</v>
      </c>
      <c r="O186" s="173"/>
    </row>
    <row r="187" spans="1:30">
      <c r="A187" s="315"/>
      <c r="B187" s="252"/>
      <c r="C187" s="29" t="s">
        <v>76</v>
      </c>
      <c r="D187" s="283"/>
      <c r="E187" s="174"/>
      <c r="F187" s="174"/>
      <c r="G187" s="174"/>
      <c r="H187" s="193">
        <v>4</v>
      </c>
      <c r="I187" s="193"/>
      <c r="J187" s="193">
        <v>4</v>
      </c>
      <c r="K187" s="193"/>
      <c r="L187" s="193">
        <v>4</v>
      </c>
      <c r="M187" s="193">
        <v>4</v>
      </c>
      <c r="N187" s="193">
        <v>5</v>
      </c>
      <c r="O187" s="173"/>
    </row>
    <row r="188" spans="1:30">
      <c r="A188" s="315"/>
      <c r="B188" s="252"/>
      <c r="C188" s="29" t="s">
        <v>79</v>
      </c>
      <c r="D188" s="283"/>
      <c r="E188" s="174"/>
      <c r="F188" s="174"/>
      <c r="G188" s="174"/>
      <c r="H188" s="193">
        <v>4</v>
      </c>
      <c r="I188" s="193"/>
      <c r="J188" s="193">
        <v>4</v>
      </c>
      <c r="K188" s="193"/>
      <c r="L188" s="193">
        <v>4</v>
      </c>
      <c r="M188" s="193">
        <v>4</v>
      </c>
      <c r="N188" s="193">
        <v>5</v>
      </c>
      <c r="O188" s="173"/>
    </row>
    <row r="189" spans="1:30">
      <c r="A189" s="315"/>
      <c r="B189" s="252"/>
      <c r="C189" s="29" t="s">
        <v>58</v>
      </c>
      <c r="D189" s="283"/>
      <c r="E189" s="174"/>
      <c r="F189" s="174"/>
      <c r="G189" s="174"/>
      <c r="H189" s="193">
        <v>4</v>
      </c>
      <c r="I189" s="193"/>
      <c r="J189" s="193">
        <v>4</v>
      </c>
      <c r="K189" s="193"/>
      <c r="L189" s="193">
        <v>4</v>
      </c>
      <c r="M189" s="193">
        <v>4</v>
      </c>
      <c r="N189" s="193">
        <v>5</v>
      </c>
      <c r="O189" s="173"/>
    </row>
    <row r="190" spans="1:30">
      <c r="A190" s="315"/>
      <c r="B190" s="252"/>
      <c r="C190" s="29" t="s">
        <v>21</v>
      </c>
      <c r="D190" s="283"/>
      <c r="E190" s="174"/>
      <c r="F190" s="174"/>
      <c r="G190" s="174"/>
      <c r="H190" s="193">
        <v>4</v>
      </c>
      <c r="I190" s="193"/>
      <c r="J190" s="193">
        <v>4</v>
      </c>
      <c r="K190" s="193"/>
      <c r="L190" s="193">
        <v>4</v>
      </c>
      <c r="M190" s="193">
        <v>4</v>
      </c>
      <c r="N190" s="193">
        <v>5</v>
      </c>
      <c r="O190" s="173"/>
    </row>
    <row r="191" spans="1:30">
      <c r="A191" s="315"/>
      <c r="B191" s="252"/>
      <c r="C191" s="29" t="s">
        <v>24</v>
      </c>
      <c r="D191" s="283"/>
      <c r="E191" s="174"/>
      <c r="F191" s="174"/>
      <c r="G191" s="174"/>
      <c r="H191" s="193">
        <v>4</v>
      </c>
      <c r="I191" s="193"/>
      <c r="J191" s="193">
        <v>4</v>
      </c>
      <c r="K191" s="193"/>
      <c r="L191" s="193">
        <v>4</v>
      </c>
      <c r="M191" s="193">
        <v>4</v>
      </c>
      <c r="N191" s="193">
        <v>5</v>
      </c>
      <c r="O191" s="173"/>
    </row>
    <row r="192" spans="1:30">
      <c r="A192" s="315"/>
      <c r="B192" s="252"/>
      <c r="C192" s="29" t="s">
        <v>50</v>
      </c>
      <c r="D192" s="283"/>
      <c r="E192" s="174"/>
      <c r="F192" s="174"/>
      <c r="G192" s="174"/>
      <c r="H192" s="193">
        <v>4</v>
      </c>
      <c r="I192" s="193"/>
      <c r="J192" s="193">
        <v>4</v>
      </c>
      <c r="K192" s="193"/>
      <c r="L192" s="193">
        <v>4</v>
      </c>
      <c r="M192" s="193">
        <v>4</v>
      </c>
      <c r="N192" s="193">
        <v>5</v>
      </c>
      <c r="O192" s="173"/>
    </row>
    <row r="193" spans="1:30" ht="24.75" thickBot="1">
      <c r="A193" s="316"/>
      <c r="B193" s="271"/>
      <c r="C193" s="149" t="s">
        <v>14</v>
      </c>
      <c r="D193" s="284"/>
      <c r="E193" s="176"/>
      <c r="F193" s="176"/>
      <c r="G193" s="176"/>
      <c r="H193" s="194">
        <v>4</v>
      </c>
      <c r="I193" s="194"/>
      <c r="J193" s="194">
        <v>4</v>
      </c>
      <c r="K193" s="194"/>
      <c r="L193" s="194">
        <v>4</v>
      </c>
      <c r="M193" s="194">
        <v>4</v>
      </c>
      <c r="N193" s="194">
        <v>5</v>
      </c>
      <c r="O193" s="175"/>
    </row>
    <row r="194" spans="1:30" ht="51.75" customHeight="1">
      <c r="A194" s="317" t="s">
        <v>420</v>
      </c>
      <c r="B194" s="251" t="s">
        <v>391</v>
      </c>
      <c r="C194" s="238" t="s">
        <v>393</v>
      </c>
      <c r="D194" s="239" t="s">
        <v>413</v>
      </c>
      <c r="E194" s="240"/>
      <c r="F194" s="240"/>
      <c r="G194" s="240"/>
      <c r="H194" s="239">
        <v>4</v>
      </c>
      <c r="I194" s="239">
        <v>3.8328571428571427</v>
      </c>
      <c r="J194" s="241">
        <v>5</v>
      </c>
      <c r="K194" s="241"/>
      <c r="L194" s="241"/>
      <c r="M194" s="241"/>
      <c r="N194" s="241"/>
      <c r="O194" s="177"/>
    </row>
    <row r="195" spans="1:30">
      <c r="A195" s="315"/>
      <c r="B195" s="248"/>
      <c r="C195" s="29" t="s">
        <v>110</v>
      </c>
      <c r="D195" s="283"/>
      <c r="E195" s="174"/>
      <c r="F195" s="174"/>
      <c r="G195" s="174"/>
      <c r="H195" s="193">
        <v>4</v>
      </c>
      <c r="I195" s="193"/>
      <c r="J195" s="193">
        <v>5</v>
      </c>
      <c r="K195" s="193"/>
      <c r="L195" s="290">
        <v>5</v>
      </c>
      <c r="M195" s="290">
        <v>5</v>
      </c>
      <c r="N195" s="290">
        <v>5</v>
      </c>
      <c r="O195" s="173"/>
    </row>
    <row r="196" spans="1:30">
      <c r="A196" s="315"/>
      <c r="B196" s="248"/>
      <c r="C196" s="29" t="s">
        <v>56</v>
      </c>
      <c r="D196" s="283"/>
      <c r="E196" s="174"/>
      <c r="F196" s="174"/>
      <c r="G196" s="174"/>
      <c r="H196" s="193">
        <v>4</v>
      </c>
      <c r="I196" s="193"/>
      <c r="J196" s="193">
        <v>5</v>
      </c>
      <c r="K196" s="193"/>
      <c r="L196" s="193">
        <v>5</v>
      </c>
      <c r="M196" s="193">
        <v>5</v>
      </c>
      <c r="N196" s="193">
        <v>5</v>
      </c>
      <c r="O196" s="173"/>
    </row>
    <row r="197" spans="1:30">
      <c r="A197" s="315"/>
      <c r="B197" s="248"/>
      <c r="C197" s="29" t="s">
        <v>94</v>
      </c>
      <c r="D197" s="283"/>
      <c r="E197" s="174"/>
      <c r="F197" s="174"/>
      <c r="G197" s="174"/>
      <c r="H197" s="193">
        <v>4</v>
      </c>
      <c r="I197" s="193"/>
      <c r="J197" s="193">
        <v>5</v>
      </c>
      <c r="K197" s="193"/>
      <c r="L197" s="193">
        <v>5</v>
      </c>
      <c r="M197" s="193">
        <v>5</v>
      </c>
      <c r="N197" s="193">
        <v>5</v>
      </c>
      <c r="O197" s="173"/>
    </row>
    <row r="198" spans="1:30">
      <c r="A198" s="315"/>
      <c r="B198" s="248"/>
      <c r="C198" s="29" t="s">
        <v>95</v>
      </c>
      <c r="D198" s="283"/>
      <c r="E198" s="174"/>
      <c r="F198" s="174"/>
      <c r="G198" s="174"/>
      <c r="H198" s="193">
        <v>4</v>
      </c>
      <c r="I198" s="193"/>
      <c r="J198" s="193">
        <v>5</v>
      </c>
      <c r="K198" s="193"/>
      <c r="L198" s="193">
        <v>5</v>
      </c>
      <c r="M198" s="193">
        <v>5</v>
      </c>
      <c r="N198" s="193">
        <v>5</v>
      </c>
      <c r="O198" s="173"/>
    </row>
    <row r="199" spans="1:30">
      <c r="A199" s="315"/>
      <c r="B199" s="253"/>
      <c r="C199" s="29" t="s">
        <v>123</v>
      </c>
      <c r="D199" s="283"/>
      <c r="E199" s="174"/>
      <c r="F199" s="174"/>
      <c r="G199" s="174"/>
      <c r="H199" s="193">
        <v>4</v>
      </c>
      <c r="I199" s="193"/>
      <c r="J199" s="193">
        <v>5</v>
      </c>
      <c r="K199" s="193"/>
      <c r="L199" s="193">
        <v>5</v>
      </c>
      <c r="M199" s="193">
        <v>5</v>
      </c>
      <c r="N199" s="193">
        <v>5</v>
      </c>
      <c r="O199" s="173"/>
    </row>
    <row r="200" spans="1:30">
      <c r="A200" s="315"/>
      <c r="B200" s="253"/>
      <c r="C200" s="29" t="s">
        <v>76</v>
      </c>
      <c r="D200" s="283"/>
      <c r="E200" s="174"/>
      <c r="F200" s="174"/>
      <c r="G200" s="174"/>
      <c r="H200" s="193">
        <v>4</v>
      </c>
      <c r="I200" s="193"/>
      <c r="J200" s="193">
        <v>5</v>
      </c>
      <c r="K200" s="193"/>
      <c r="L200" s="193">
        <v>5</v>
      </c>
      <c r="M200" s="193">
        <v>5</v>
      </c>
      <c r="N200" s="193">
        <v>5</v>
      </c>
      <c r="O200" s="173"/>
    </row>
    <row r="201" spans="1:30">
      <c r="A201" s="315"/>
      <c r="B201" s="253"/>
      <c r="C201" s="29" t="s">
        <v>79</v>
      </c>
      <c r="D201" s="283"/>
      <c r="E201" s="174"/>
      <c r="F201" s="174"/>
      <c r="G201" s="174"/>
      <c r="H201" s="193">
        <v>4</v>
      </c>
      <c r="I201" s="193"/>
      <c r="J201" s="193">
        <v>5</v>
      </c>
      <c r="K201" s="193"/>
      <c r="L201" s="193">
        <v>5</v>
      </c>
      <c r="M201" s="193">
        <v>5</v>
      </c>
      <c r="N201" s="193">
        <v>5</v>
      </c>
      <c r="O201" s="173"/>
    </row>
    <row r="202" spans="1:30">
      <c r="A202" s="315"/>
      <c r="B202" s="253"/>
      <c r="C202" s="29" t="s">
        <v>58</v>
      </c>
      <c r="D202" s="283"/>
      <c r="E202" s="174"/>
      <c r="F202" s="174"/>
      <c r="G202" s="174"/>
      <c r="H202" s="193">
        <v>4</v>
      </c>
      <c r="I202" s="193"/>
      <c r="J202" s="193">
        <v>5</v>
      </c>
      <c r="K202" s="193"/>
      <c r="L202" s="193">
        <v>5</v>
      </c>
      <c r="M202" s="193">
        <v>5</v>
      </c>
      <c r="N202" s="193">
        <v>5</v>
      </c>
      <c r="O202" s="173"/>
    </row>
    <row r="203" spans="1:30">
      <c r="A203" s="315"/>
      <c r="B203" s="253"/>
      <c r="C203" s="164" t="s">
        <v>14</v>
      </c>
      <c r="D203" s="286"/>
      <c r="E203" s="179"/>
      <c r="F203" s="179"/>
      <c r="G203" s="179"/>
      <c r="H203" s="193">
        <v>4</v>
      </c>
      <c r="I203" s="193"/>
      <c r="J203" s="193">
        <v>5</v>
      </c>
      <c r="K203" s="193"/>
      <c r="L203" s="193">
        <v>5</v>
      </c>
      <c r="M203" s="193">
        <v>5</v>
      </c>
      <c r="N203" s="193">
        <v>5</v>
      </c>
      <c r="O203" s="178"/>
    </row>
    <row r="204" spans="1:30">
      <c r="A204" s="315"/>
      <c r="B204" s="253"/>
      <c r="C204" s="29" t="s">
        <v>21</v>
      </c>
      <c r="D204" s="283"/>
      <c r="E204" s="174"/>
      <c r="F204" s="174"/>
      <c r="G204" s="174"/>
      <c r="H204" s="193">
        <v>4</v>
      </c>
      <c r="I204" s="193"/>
      <c r="J204" s="193">
        <v>5</v>
      </c>
      <c r="K204" s="193"/>
      <c r="L204" s="193">
        <v>5</v>
      </c>
      <c r="M204" s="193">
        <v>5</v>
      </c>
      <c r="N204" s="193">
        <v>5</v>
      </c>
      <c r="O204" s="173"/>
    </row>
    <row r="205" spans="1:30">
      <c r="A205" s="315"/>
      <c r="B205" s="253"/>
      <c r="C205" s="29" t="s">
        <v>24</v>
      </c>
      <c r="D205" s="283"/>
      <c r="E205" s="174"/>
      <c r="F205" s="174"/>
      <c r="G205" s="174"/>
      <c r="H205" s="193">
        <v>4</v>
      </c>
      <c r="I205" s="193"/>
      <c r="J205" s="193">
        <v>5</v>
      </c>
      <c r="K205" s="193"/>
      <c r="L205" s="193">
        <v>5</v>
      </c>
      <c r="M205" s="193">
        <v>5</v>
      </c>
      <c r="N205" s="193">
        <v>5</v>
      </c>
      <c r="O205" s="173"/>
    </row>
    <row r="206" spans="1:30">
      <c r="A206" s="315"/>
      <c r="B206" s="253"/>
      <c r="C206" s="29" t="s">
        <v>50</v>
      </c>
      <c r="D206" s="283"/>
      <c r="E206" s="174"/>
      <c r="F206" s="174"/>
      <c r="G206" s="174"/>
      <c r="H206" s="193">
        <v>4</v>
      </c>
      <c r="I206" s="193"/>
      <c r="J206" s="193">
        <v>5</v>
      </c>
      <c r="K206" s="193"/>
      <c r="L206" s="193">
        <v>5</v>
      </c>
      <c r="M206" s="193">
        <v>5</v>
      </c>
      <c r="N206" s="193">
        <v>5</v>
      </c>
      <c r="O206" s="173"/>
    </row>
    <row r="207" spans="1:30" s="172" customFormat="1">
      <c r="A207" s="315"/>
      <c r="B207" s="253"/>
      <c r="C207" s="169" t="s">
        <v>126</v>
      </c>
      <c r="D207" s="285"/>
      <c r="E207" s="169"/>
      <c r="F207" s="169"/>
      <c r="G207" s="169"/>
      <c r="H207" s="193">
        <v>4</v>
      </c>
      <c r="I207" s="193"/>
      <c r="J207" s="193">
        <v>5</v>
      </c>
      <c r="K207" s="193"/>
      <c r="L207" s="193">
        <v>5</v>
      </c>
      <c r="M207" s="193">
        <v>5</v>
      </c>
      <c r="N207" s="193">
        <v>5</v>
      </c>
      <c r="O207" s="170"/>
      <c r="P207" s="171"/>
      <c r="Q207" s="171"/>
      <c r="R207" s="171"/>
      <c r="S207" s="171"/>
      <c r="T207" s="171"/>
      <c r="U207" s="171"/>
      <c r="V207" s="171"/>
      <c r="W207" s="171"/>
      <c r="X207" s="171"/>
      <c r="Y207" s="171"/>
      <c r="Z207" s="171"/>
      <c r="AA207" s="171"/>
      <c r="AB207" s="171"/>
      <c r="AC207" s="171"/>
      <c r="AD207" s="171"/>
    </row>
    <row r="208" spans="1:30" s="172" customFormat="1">
      <c r="A208" s="315"/>
      <c r="B208" s="253"/>
      <c r="C208" s="174" t="s">
        <v>127</v>
      </c>
      <c r="D208" s="283"/>
      <c r="E208" s="174"/>
      <c r="F208" s="174"/>
      <c r="G208" s="174"/>
      <c r="H208" s="193">
        <v>4</v>
      </c>
      <c r="I208" s="193"/>
      <c r="J208" s="193">
        <v>5</v>
      </c>
      <c r="K208" s="193"/>
      <c r="L208" s="193">
        <v>5</v>
      </c>
      <c r="M208" s="193">
        <v>5</v>
      </c>
      <c r="N208" s="193">
        <v>5</v>
      </c>
      <c r="O208" s="173"/>
      <c r="P208" s="171"/>
      <c r="Q208" s="171"/>
      <c r="R208" s="171"/>
      <c r="S208" s="171"/>
      <c r="T208" s="171"/>
      <c r="U208" s="171"/>
      <c r="V208" s="171"/>
      <c r="W208" s="171"/>
      <c r="X208" s="171"/>
      <c r="Y208" s="171"/>
      <c r="Z208" s="171"/>
      <c r="AA208" s="171"/>
      <c r="AB208" s="171"/>
      <c r="AC208" s="171"/>
      <c r="AD208" s="171"/>
    </row>
    <row r="209" spans="1:30" s="172" customFormat="1" ht="24.75" thickBot="1">
      <c r="A209" s="316"/>
      <c r="B209" s="254"/>
      <c r="C209" s="176" t="s">
        <v>97</v>
      </c>
      <c r="D209" s="284"/>
      <c r="E209" s="176"/>
      <c r="F209" s="176"/>
      <c r="G209" s="176"/>
      <c r="H209" s="194">
        <v>4</v>
      </c>
      <c r="I209" s="194"/>
      <c r="J209" s="194">
        <v>5</v>
      </c>
      <c r="K209" s="194"/>
      <c r="L209" s="194">
        <v>5</v>
      </c>
      <c r="M209" s="194">
        <v>5</v>
      </c>
      <c r="N209" s="194">
        <v>5</v>
      </c>
      <c r="O209" s="175"/>
      <c r="P209" s="171"/>
      <c r="Q209" s="171"/>
      <c r="R209" s="171"/>
      <c r="S209" s="171"/>
      <c r="T209" s="171"/>
      <c r="U209" s="171"/>
      <c r="V209" s="171"/>
      <c r="W209" s="171"/>
      <c r="X209" s="171"/>
      <c r="Y209" s="171"/>
      <c r="Z209" s="171"/>
      <c r="AA209" s="171"/>
      <c r="AB209" s="171"/>
      <c r="AC209" s="171"/>
      <c r="AD209" s="171"/>
    </row>
    <row r="210" spans="1:30" ht="64.5" customHeight="1">
      <c r="A210" s="318" t="s">
        <v>173</v>
      </c>
      <c r="B210" s="251" t="s">
        <v>392</v>
      </c>
      <c r="C210" s="238" t="s">
        <v>421</v>
      </c>
      <c r="D210" s="239" t="s">
        <v>119</v>
      </c>
      <c r="E210" s="240"/>
      <c r="F210" s="240"/>
      <c r="G210" s="240"/>
      <c r="H210" s="239">
        <v>70</v>
      </c>
      <c r="I210" s="239">
        <v>84.25</v>
      </c>
      <c r="J210" s="239">
        <v>70</v>
      </c>
      <c r="K210" s="241"/>
      <c r="L210" s="241"/>
      <c r="M210" s="241"/>
      <c r="N210" s="241"/>
      <c r="O210" s="255"/>
    </row>
    <row r="211" spans="1:30">
      <c r="A211" s="319"/>
      <c r="B211" s="248"/>
      <c r="C211" s="141" t="s">
        <v>110</v>
      </c>
      <c r="D211" s="285"/>
      <c r="E211" s="169"/>
      <c r="F211" s="169"/>
      <c r="G211" s="169"/>
      <c r="H211" s="290">
        <v>70</v>
      </c>
      <c r="I211" s="290"/>
      <c r="J211" s="290">
        <v>70</v>
      </c>
      <c r="K211" s="290"/>
      <c r="L211" s="290">
        <v>70</v>
      </c>
      <c r="M211" s="290">
        <v>75</v>
      </c>
      <c r="N211" s="290">
        <v>75</v>
      </c>
      <c r="O211" s="256"/>
    </row>
    <row r="212" spans="1:30">
      <c r="A212" s="319"/>
      <c r="B212" s="248"/>
      <c r="C212" s="29" t="s">
        <v>56</v>
      </c>
      <c r="D212" s="283"/>
      <c r="E212" s="174"/>
      <c r="F212" s="174"/>
      <c r="G212" s="174"/>
      <c r="H212" s="193">
        <v>70</v>
      </c>
      <c r="I212" s="193"/>
      <c r="J212" s="193">
        <v>70</v>
      </c>
      <c r="K212" s="193"/>
      <c r="L212" s="193">
        <v>70</v>
      </c>
      <c r="M212" s="193">
        <v>75</v>
      </c>
      <c r="N212" s="193">
        <v>75</v>
      </c>
      <c r="O212" s="256"/>
    </row>
    <row r="213" spans="1:30">
      <c r="A213" s="319"/>
      <c r="B213" s="248"/>
      <c r="C213" s="29" t="s">
        <v>94</v>
      </c>
      <c r="D213" s="283"/>
      <c r="E213" s="174"/>
      <c r="F213" s="174"/>
      <c r="G213" s="174"/>
      <c r="H213" s="193">
        <v>70</v>
      </c>
      <c r="I213" s="193"/>
      <c r="J213" s="193">
        <v>70</v>
      </c>
      <c r="K213" s="193"/>
      <c r="L213" s="193">
        <v>70</v>
      </c>
      <c r="M213" s="193">
        <v>75</v>
      </c>
      <c r="N213" s="193">
        <v>75</v>
      </c>
      <c r="O213" s="256"/>
    </row>
    <row r="214" spans="1:30">
      <c r="A214" s="319"/>
      <c r="B214" s="248"/>
      <c r="C214" s="29" t="s">
        <v>95</v>
      </c>
      <c r="D214" s="283"/>
      <c r="E214" s="174"/>
      <c r="F214" s="174"/>
      <c r="G214" s="174"/>
      <c r="H214" s="193">
        <v>70</v>
      </c>
      <c r="I214" s="193"/>
      <c r="J214" s="193">
        <v>70</v>
      </c>
      <c r="K214" s="193"/>
      <c r="L214" s="193">
        <v>70</v>
      </c>
      <c r="M214" s="193">
        <v>75</v>
      </c>
      <c r="N214" s="193">
        <v>75</v>
      </c>
      <c r="O214" s="256"/>
    </row>
    <row r="215" spans="1:30">
      <c r="A215" s="319"/>
      <c r="B215" s="248"/>
      <c r="C215" s="29" t="s">
        <v>123</v>
      </c>
      <c r="D215" s="283"/>
      <c r="E215" s="174"/>
      <c r="F215" s="174"/>
      <c r="G215" s="174"/>
      <c r="H215" s="193">
        <v>70</v>
      </c>
      <c r="I215" s="193"/>
      <c r="J215" s="193">
        <v>70</v>
      </c>
      <c r="K215" s="193"/>
      <c r="L215" s="193">
        <v>70</v>
      </c>
      <c r="M215" s="193">
        <v>75</v>
      </c>
      <c r="N215" s="193">
        <v>75</v>
      </c>
      <c r="O215" s="173"/>
    </row>
    <row r="216" spans="1:30">
      <c r="A216" s="319"/>
      <c r="B216" s="248"/>
      <c r="C216" s="29" t="s">
        <v>76</v>
      </c>
      <c r="D216" s="283"/>
      <c r="E216" s="174"/>
      <c r="F216" s="174"/>
      <c r="G216" s="174"/>
      <c r="H216" s="193">
        <v>70</v>
      </c>
      <c r="I216" s="193"/>
      <c r="J216" s="193">
        <v>70</v>
      </c>
      <c r="K216" s="193"/>
      <c r="L216" s="193">
        <v>70</v>
      </c>
      <c r="M216" s="193">
        <v>75</v>
      </c>
      <c r="N216" s="193">
        <v>75</v>
      </c>
      <c r="O216" s="257"/>
    </row>
    <row r="217" spans="1:30">
      <c r="A217" s="319"/>
      <c r="B217" s="248"/>
      <c r="C217" s="29" t="s">
        <v>79</v>
      </c>
      <c r="D217" s="283"/>
      <c r="E217" s="174"/>
      <c r="F217" s="174"/>
      <c r="G217" s="174"/>
      <c r="H217" s="193">
        <v>70</v>
      </c>
      <c r="I217" s="193"/>
      <c r="J217" s="193">
        <v>70</v>
      </c>
      <c r="K217" s="193"/>
      <c r="L217" s="193">
        <v>70</v>
      </c>
      <c r="M217" s="193">
        <v>75</v>
      </c>
      <c r="N217" s="193">
        <v>75</v>
      </c>
      <c r="O217" s="256"/>
    </row>
    <row r="218" spans="1:30">
      <c r="A218" s="319"/>
      <c r="B218" s="248"/>
      <c r="C218" s="29" t="s">
        <v>58</v>
      </c>
      <c r="D218" s="283"/>
      <c r="E218" s="174"/>
      <c r="F218" s="174"/>
      <c r="G218" s="174"/>
      <c r="H218" s="193">
        <v>70</v>
      </c>
      <c r="I218" s="193"/>
      <c r="J218" s="193">
        <v>70</v>
      </c>
      <c r="K218" s="193"/>
      <c r="L218" s="193">
        <v>70</v>
      </c>
      <c r="M218" s="193">
        <v>75</v>
      </c>
      <c r="N218" s="193">
        <v>75</v>
      </c>
      <c r="O218" s="256"/>
    </row>
    <row r="219" spans="1:30">
      <c r="A219" s="319"/>
      <c r="B219" s="248"/>
      <c r="C219" s="29" t="s">
        <v>21</v>
      </c>
      <c r="D219" s="283"/>
      <c r="E219" s="174"/>
      <c r="F219" s="174"/>
      <c r="G219" s="174"/>
      <c r="H219" s="193">
        <v>70</v>
      </c>
      <c r="I219" s="193"/>
      <c r="J219" s="193">
        <v>70</v>
      </c>
      <c r="K219" s="193"/>
      <c r="L219" s="193">
        <v>70</v>
      </c>
      <c r="M219" s="193">
        <v>75</v>
      </c>
      <c r="N219" s="193">
        <v>75</v>
      </c>
      <c r="O219" s="256"/>
    </row>
    <row r="220" spans="1:30">
      <c r="A220" s="319"/>
      <c r="B220" s="248"/>
      <c r="C220" s="29" t="s">
        <v>24</v>
      </c>
      <c r="D220" s="283"/>
      <c r="E220" s="174"/>
      <c r="F220" s="174"/>
      <c r="G220" s="174"/>
      <c r="H220" s="193">
        <v>70</v>
      </c>
      <c r="I220" s="193"/>
      <c r="J220" s="193">
        <v>70</v>
      </c>
      <c r="K220" s="193"/>
      <c r="L220" s="193">
        <v>70</v>
      </c>
      <c r="M220" s="193">
        <v>75</v>
      </c>
      <c r="N220" s="193">
        <v>75</v>
      </c>
      <c r="O220" s="256"/>
    </row>
    <row r="221" spans="1:30">
      <c r="A221" s="319"/>
      <c r="B221" s="248"/>
      <c r="C221" s="29" t="s">
        <v>50</v>
      </c>
      <c r="D221" s="283"/>
      <c r="E221" s="174"/>
      <c r="F221" s="174"/>
      <c r="G221" s="174"/>
      <c r="H221" s="193">
        <v>70</v>
      </c>
      <c r="I221" s="193"/>
      <c r="J221" s="193">
        <v>70</v>
      </c>
      <c r="K221" s="193"/>
      <c r="L221" s="193">
        <v>70</v>
      </c>
      <c r="M221" s="193">
        <v>75</v>
      </c>
      <c r="N221" s="193">
        <v>75</v>
      </c>
      <c r="O221" s="256"/>
    </row>
    <row r="222" spans="1:30">
      <c r="A222" s="319"/>
      <c r="B222" s="248"/>
      <c r="C222" s="29" t="s">
        <v>14</v>
      </c>
      <c r="D222" s="283"/>
      <c r="E222" s="174"/>
      <c r="F222" s="174"/>
      <c r="G222" s="174"/>
      <c r="H222" s="193">
        <v>70</v>
      </c>
      <c r="I222" s="193"/>
      <c r="J222" s="193">
        <v>70</v>
      </c>
      <c r="K222" s="193"/>
      <c r="L222" s="193">
        <v>70</v>
      </c>
      <c r="M222" s="193">
        <v>75</v>
      </c>
      <c r="N222" s="193">
        <v>75</v>
      </c>
      <c r="O222" s="173"/>
    </row>
    <row r="223" spans="1:30" s="172" customFormat="1">
      <c r="A223" s="319"/>
      <c r="B223" s="248"/>
      <c r="C223" s="169" t="s">
        <v>126</v>
      </c>
      <c r="D223" s="285"/>
      <c r="E223" s="169"/>
      <c r="F223" s="169"/>
      <c r="G223" s="169"/>
      <c r="H223" s="193">
        <v>70</v>
      </c>
      <c r="I223" s="193"/>
      <c r="J223" s="193">
        <v>70</v>
      </c>
      <c r="K223" s="193"/>
      <c r="L223" s="193">
        <v>70</v>
      </c>
      <c r="M223" s="193">
        <v>75</v>
      </c>
      <c r="N223" s="193">
        <v>75</v>
      </c>
      <c r="O223" s="173"/>
      <c r="P223" s="171"/>
      <c r="Q223" s="171"/>
      <c r="R223" s="171"/>
      <c r="S223" s="171"/>
      <c r="T223" s="171"/>
      <c r="U223" s="171"/>
      <c r="V223" s="171"/>
      <c r="W223" s="171"/>
      <c r="X223" s="171"/>
      <c r="Y223" s="171"/>
      <c r="Z223" s="171"/>
      <c r="AA223" s="171"/>
      <c r="AB223" s="171"/>
      <c r="AC223" s="171"/>
      <c r="AD223" s="171"/>
    </row>
    <row r="224" spans="1:30" s="172" customFormat="1">
      <c r="A224" s="319"/>
      <c r="B224" s="248"/>
      <c r="C224" s="174" t="s">
        <v>127</v>
      </c>
      <c r="D224" s="283"/>
      <c r="E224" s="174"/>
      <c r="F224" s="174"/>
      <c r="G224" s="174"/>
      <c r="H224" s="193">
        <v>70</v>
      </c>
      <c r="I224" s="193"/>
      <c r="J224" s="193">
        <v>70</v>
      </c>
      <c r="K224" s="193"/>
      <c r="L224" s="193">
        <v>70</v>
      </c>
      <c r="M224" s="193">
        <v>75</v>
      </c>
      <c r="N224" s="193">
        <v>75</v>
      </c>
      <c r="O224" s="173"/>
      <c r="P224" s="171"/>
      <c r="Q224" s="171"/>
      <c r="R224" s="171"/>
      <c r="S224" s="171"/>
      <c r="T224" s="171"/>
      <c r="U224" s="171"/>
      <c r="V224" s="171"/>
      <c r="W224" s="171"/>
      <c r="X224" s="171"/>
      <c r="Y224" s="171"/>
      <c r="Z224" s="171"/>
      <c r="AA224" s="171"/>
      <c r="AB224" s="171"/>
      <c r="AC224" s="171"/>
      <c r="AD224" s="171"/>
    </row>
    <row r="225" spans="1:30" s="172" customFormat="1" ht="24.75" thickBot="1">
      <c r="A225" s="319"/>
      <c r="B225" s="248"/>
      <c r="C225" s="176" t="s">
        <v>97</v>
      </c>
      <c r="D225" s="284"/>
      <c r="E225" s="176"/>
      <c r="F225" s="176"/>
      <c r="G225" s="176"/>
      <c r="H225" s="194">
        <v>70</v>
      </c>
      <c r="I225" s="194"/>
      <c r="J225" s="194">
        <v>70</v>
      </c>
      <c r="K225" s="194"/>
      <c r="L225" s="194">
        <v>70</v>
      </c>
      <c r="M225" s="194">
        <v>75</v>
      </c>
      <c r="N225" s="194">
        <v>75</v>
      </c>
      <c r="O225" s="175"/>
      <c r="P225" s="171"/>
      <c r="Q225" s="171"/>
      <c r="R225" s="171"/>
      <c r="S225" s="171"/>
      <c r="T225" s="171"/>
      <c r="U225" s="171"/>
      <c r="V225" s="171"/>
      <c r="W225" s="171"/>
      <c r="X225" s="171"/>
      <c r="Y225" s="171"/>
      <c r="Z225" s="171"/>
      <c r="AA225" s="171"/>
      <c r="AB225" s="171"/>
      <c r="AC225" s="171"/>
      <c r="AD225" s="171"/>
    </row>
    <row r="226" spans="1:30" ht="52.5" customHeight="1">
      <c r="A226" s="319"/>
      <c r="B226" s="248"/>
      <c r="C226" s="238" t="s">
        <v>422</v>
      </c>
      <c r="D226" s="239" t="s">
        <v>119</v>
      </c>
      <c r="E226" s="240"/>
      <c r="F226" s="240"/>
      <c r="G226" s="240"/>
      <c r="H226" s="239">
        <v>70</v>
      </c>
      <c r="I226" s="239">
        <v>72.565833333333345</v>
      </c>
      <c r="J226" s="239">
        <v>75</v>
      </c>
      <c r="K226" s="241"/>
      <c r="L226" s="241"/>
      <c r="M226" s="241"/>
      <c r="N226" s="241"/>
      <c r="O226" s="177"/>
    </row>
    <row r="227" spans="1:30">
      <c r="A227" s="319"/>
      <c r="B227" s="248"/>
      <c r="C227" s="141" t="s">
        <v>110</v>
      </c>
      <c r="D227" s="285"/>
      <c r="E227" s="169"/>
      <c r="F227" s="169"/>
      <c r="G227" s="169"/>
      <c r="H227" s="290">
        <v>70</v>
      </c>
      <c r="I227" s="290"/>
      <c r="J227" s="290">
        <v>75</v>
      </c>
      <c r="K227" s="290"/>
      <c r="L227" s="290">
        <v>80</v>
      </c>
      <c r="M227" s="290">
        <v>80</v>
      </c>
      <c r="N227" s="290">
        <v>80</v>
      </c>
      <c r="O227" s="173"/>
    </row>
    <row r="228" spans="1:30">
      <c r="A228" s="319"/>
      <c r="B228" s="248"/>
      <c r="C228" s="29" t="s">
        <v>56</v>
      </c>
      <c r="D228" s="283"/>
      <c r="E228" s="174"/>
      <c r="F228" s="174"/>
      <c r="G228" s="174"/>
      <c r="H228" s="193">
        <v>70</v>
      </c>
      <c r="I228" s="193"/>
      <c r="J228" s="193">
        <v>75</v>
      </c>
      <c r="K228" s="193"/>
      <c r="L228" s="193">
        <v>80</v>
      </c>
      <c r="M228" s="193">
        <v>80</v>
      </c>
      <c r="N228" s="193">
        <v>80</v>
      </c>
      <c r="O228" s="173"/>
    </row>
    <row r="229" spans="1:30">
      <c r="A229" s="319"/>
      <c r="B229" s="248"/>
      <c r="C229" s="29" t="s">
        <v>94</v>
      </c>
      <c r="D229" s="283"/>
      <c r="E229" s="174"/>
      <c r="F229" s="174"/>
      <c r="G229" s="174"/>
      <c r="H229" s="193">
        <v>70</v>
      </c>
      <c r="I229" s="193"/>
      <c r="J229" s="193">
        <v>75</v>
      </c>
      <c r="K229" s="193"/>
      <c r="L229" s="193">
        <v>80</v>
      </c>
      <c r="M229" s="193">
        <v>80</v>
      </c>
      <c r="N229" s="193">
        <v>80</v>
      </c>
      <c r="O229" s="173"/>
    </row>
    <row r="230" spans="1:30">
      <c r="A230" s="319"/>
      <c r="B230" s="248"/>
      <c r="C230" s="29" t="s">
        <v>95</v>
      </c>
      <c r="D230" s="283"/>
      <c r="E230" s="174"/>
      <c r="F230" s="174"/>
      <c r="G230" s="174"/>
      <c r="H230" s="193">
        <v>70</v>
      </c>
      <c r="I230" s="193"/>
      <c r="J230" s="193">
        <v>75</v>
      </c>
      <c r="K230" s="193"/>
      <c r="L230" s="193">
        <v>80</v>
      </c>
      <c r="M230" s="193">
        <v>80</v>
      </c>
      <c r="N230" s="193">
        <v>80</v>
      </c>
      <c r="O230" s="173"/>
    </row>
    <row r="231" spans="1:30">
      <c r="A231" s="319"/>
      <c r="B231" s="248"/>
      <c r="C231" s="29" t="s">
        <v>123</v>
      </c>
      <c r="D231" s="283"/>
      <c r="E231" s="174"/>
      <c r="F231" s="174"/>
      <c r="G231" s="174"/>
      <c r="H231" s="193">
        <v>70</v>
      </c>
      <c r="I231" s="193"/>
      <c r="J231" s="193">
        <v>75</v>
      </c>
      <c r="K231" s="193"/>
      <c r="L231" s="193">
        <v>80</v>
      </c>
      <c r="M231" s="193">
        <v>80</v>
      </c>
      <c r="N231" s="193">
        <v>80</v>
      </c>
      <c r="O231" s="173"/>
    </row>
    <row r="232" spans="1:30">
      <c r="A232" s="319"/>
      <c r="B232" s="248"/>
      <c r="C232" s="29" t="s">
        <v>76</v>
      </c>
      <c r="D232" s="283"/>
      <c r="E232" s="174"/>
      <c r="F232" s="174"/>
      <c r="G232" s="174"/>
      <c r="H232" s="193">
        <v>70</v>
      </c>
      <c r="I232" s="193"/>
      <c r="J232" s="193">
        <v>75</v>
      </c>
      <c r="K232" s="193"/>
      <c r="L232" s="193">
        <v>80</v>
      </c>
      <c r="M232" s="193">
        <v>80</v>
      </c>
      <c r="N232" s="193">
        <v>80</v>
      </c>
      <c r="O232" s="173"/>
    </row>
    <row r="233" spans="1:30">
      <c r="A233" s="319"/>
      <c r="B233" s="248"/>
      <c r="C233" s="29" t="s">
        <v>79</v>
      </c>
      <c r="D233" s="283"/>
      <c r="E233" s="174"/>
      <c r="F233" s="174"/>
      <c r="G233" s="174"/>
      <c r="H233" s="193">
        <v>70</v>
      </c>
      <c r="I233" s="193"/>
      <c r="J233" s="193">
        <v>75</v>
      </c>
      <c r="K233" s="193"/>
      <c r="L233" s="193">
        <v>80</v>
      </c>
      <c r="M233" s="193">
        <v>80</v>
      </c>
      <c r="N233" s="193">
        <v>80</v>
      </c>
      <c r="O233" s="173"/>
    </row>
    <row r="234" spans="1:30">
      <c r="A234" s="319"/>
      <c r="B234" s="248"/>
      <c r="C234" s="29" t="s">
        <v>58</v>
      </c>
      <c r="D234" s="283"/>
      <c r="E234" s="174"/>
      <c r="F234" s="174"/>
      <c r="G234" s="174"/>
      <c r="H234" s="193">
        <v>70</v>
      </c>
      <c r="I234" s="193"/>
      <c r="J234" s="193">
        <v>75</v>
      </c>
      <c r="K234" s="193"/>
      <c r="L234" s="193">
        <v>80</v>
      </c>
      <c r="M234" s="193">
        <v>80</v>
      </c>
      <c r="N234" s="193">
        <v>80</v>
      </c>
      <c r="O234" s="173"/>
    </row>
    <row r="235" spans="1:30">
      <c r="A235" s="319"/>
      <c r="B235" s="248"/>
      <c r="C235" s="29" t="s">
        <v>21</v>
      </c>
      <c r="D235" s="283"/>
      <c r="E235" s="174"/>
      <c r="F235" s="174"/>
      <c r="G235" s="174"/>
      <c r="H235" s="193">
        <v>70</v>
      </c>
      <c r="I235" s="193"/>
      <c r="J235" s="193">
        <v>75</v>
      </c>
      <c r="K235" s="193"/>
      <c r="L235" s="193">
        <v>80</v>
      </c>
      <c r="M235" s="193">
        <v>80</v>
      </c>
      <c r="N235" s="193">
        <v>80</v>
      </c>
      <c r="O235" s="173"/>
    </row>
    <row r="236" spans="1:30">
      <c r="A236" s="319"/>
      <c r="B236" s="248"/>
      <c r="C236" s="29" t="s">
        <v>24</v>
      </c>
      <c r="D236" s="283"/>
      <c r="E236" s="174"/>
      <c r="F236" s="174"/>
      <c r="G236" s="174"/>
      <c r="H236" s="193">
        <v>70</v>
      </c>
      <c r="I236" s="193"/>
      <c r="J236" s="193">
        <v>75</v>
      </c>
      <c r="K236" s="193"/>
      <c r="L236" s="193">
        <v>80</v>
      </c>
      <c r="M236" s="193">
        <v>80</v>
      </c>
      <c r="N236" s="193">
        <v>80</v>
      </c>
      <c r="O236" s="173"/>
    </row>
    <row r="237" spans="1:30">
      <c r="A237" s="319"/>
      <c r="B237" s="248"/>
      <c r="C237" s="29" t="s">
        <v>50</v>
      </c>
      <c r="D237" s="283"/>
      <c r="E237" s="174"/>
      <c r="F237" s="174"/>
      <c r="G237" s="174"/>
      <c r="H237" s="193">
        <v>70</v>
      </c>
      <c r="I237" s="193"/>
      <c r="J237" s="193">
        <v>75</v>
      </c>
      <c r="K237" s="193"/>
      <c r="L237" s="193">
        <v>80</v>
      </c>
      <c r="M237" s="193">
        <v>80</v>
      </c>
      <c r="N237" s="193">
        <v>80</v>
      </c>
      <c r="O237" s="173"/>
    </row>
    <row r="238" spans="1:30">
      <c r="A238" s="319"/>
      <c r="B238" s="248"/>
      <c r="C238" s="29" t="s">
        <v>14</v>
      </c>
      <c r="D238" s="283"/>
      <c r="E238" s="174"/>
      <c r="F238" s="174"/>
      <c r="G238" s="174"/>
      <c r="H238" s="193">
        <v>70</v>
      </c>
      <c r="I238" s="193"/>
      <c r="J238" s="193">
        <v>75</v>
      </c>
      <c r="K238" s="193"/>
      <c r="L238" s="193">
        <v>80</v>
      </c>
      <c r="M238" s="193">
        <v>80</v>
      </c>
      <c r="N238" s="193">
        <v>80</v>
      </c>
      <c r="O238" s="173"/>
    </row>
    <row r="239" spans="1:30" s="172" customFormat="1">
      <c r="A239" s="319"/>
      <c r="B239" s="249"/>
      <c r="C239" s="174" t="s">
        <v>126</v>
      </c>
      <c r="D239" s="283"/>
      <c r="E239" s="174"/>
      <c r="F239" s="174"/>
      <c r="G239" s="174"/>
      <c r="H239" s="193">
        <v>70</v>
      </c>
      <c r="I239" s="193"/>
      <c r="J239" s="193">
        <v>75</v>
      </c>
      <c r="K239" s="193"/>
      <c r="L239" s="193">
        <v>80</v>
      </c>
      <c r="M239" s="193">
        <v>80</v>
      </c>
      <c r="N239" s="193">
        <v>80</v>
      </c>
      <c r="O239" s="173"/>
      <c r="P239" s="171"/>
      <c r="Q239" s="171"/>
      <c r="R239" s="171"/>
      <c r="S239" s="171"/>
      <c r="T239" s="171"/>
      <c r="U239" s="171"/>
      <c r="V239" s="171"/>
      <c r="W239" s="171"/>
      <c r="X239" s="171"/>
      <c r="Y239" s="171"/>
      <c r="Z239" s="171"/>
      <c r="AA239" s="171"/>
      <c r="AB239" s="171"/>
      <c r="AC239" s="171"/>
      <c r="AD239" s="171"/>
    </row>
    <row r="240" spans="1:30" s="172" customFormat="1">
      <c r="A240" s="319"/>
      <c r="B240" s="249"/>
      <c r="C240" s="174" t="s">
        <v>127</v>
      </c>
      <c r="D240" s="283"/>
      <c r="E240" s="174"/>
      <c r="F240" s="174"/>
      <c r="G240" s="174"/>
      <c r="H240" s="193">
        <v>70</v>
      </c>
      <c r="I240" s="193"/>
      <c r="J240" s="193">
        <v>75</v>
      </c>
      <c r="K240" s="193"/>
      <c r="L240" s="193">
        <v>80</v>
      </c>
      <c r="M240" s="193">
        <v>80</v>
      </c>
      <c r="N240" s="193">
        <v>80</v>
      </c>
      <c r="O240" s="173"/>
      <c r="P240" s="171"/>
      <c r="Q240" s="171"/>
      <c r="R240" s="171"/>
      <c r="S240" s="171"/>
      <c r="T240" s="171"/>
      <c r="U240" s="171"/>
      <c r="V240" s="171"/>
      <c r="W240" s="171"/>
      <c r="X240" s="171"/>
      <c r="Y240" s="171"/>
      <c r="Z240" s="171"/>
      <c r="AA240" s="171"/>
      <c r="AB240" s="171"/>
      <c r="AC240" s="171"/>
      <c r="AD240" s="171"/>
    </row>
    <row r="241" spans="1:30" s="172" customFormat="1">
      <c r="A241" s="320"/>
      <c r="B241" s="250"/>
      <c r="C241" s="242" t="s">
        <v>97</v>
      </c>
      <c r="D241" s="287"/>
      <c r="E241" s="242"/>
      <c r="F241" s="242"/>
      <c r="G241" s="242"/>
      <c r="H241" s="244">
        <v>70</v>
      </c>
      <c r="I241" s="244"/>
      <c r="J241" s="244">
        <v>75</v>
      </c>
      <c r="K241" s="244"/>
      <c r="L241" s="244">
        <v>80</v>
      </c>
      <c r="M241" s="244">
        <v>80</v>
      </c>
      <c r="N241" s="244">
        <v>80</v>
      </c>
      <c r="O241" s="243"/>
      <c r="P241" s="171"/>
      <c r="Q241" s="171"/>
      <c r="R241" s="171"/>
      <c r="S241" s="171"/>
      <c r="T241" s="171"/>
      <c r="U241" s="171"/>
      <c r="V241" s="171"/>
      <c r="W241" s="171"/>
      <c r="X241" s="171"/>
      <c r="Y241" s="171"/>
      <c r="Z241" s="171"/>
      <c r="AA241" s="171"/>
      <c r="AB241" s="171"/>
      <c r="AC241" s="171"/>
      <c r="AD241" s="171"/>
    </row>
  </sheetData>
  <mergeCells count="10">
    <mergeCell ref="A181:A193"/>
    <mergeCell ref="A194:A209"/>
    <mergeCell ref="A210:A241"/>
    <mergeCell ref="A1:N1"/>
    <mergeCell ref="A3:A4"/>
    <mergeCell ref="A5:A88"/>
    <mergeCell ref="A89:A114"/>
    <mergeCell ref="A115:A153"/>
    <mergeCell ref="A154:A180"/>
    <mergeCell ref="A2:N2"/>
  </mergeCells>
  <printOptions horizontalCentered="1"/>
  <pageMargins left="0.35433070866141736" right="0.31496062992125984" top="0.39370078740157483" bottom="0.35433070866141736" header="0.19685039370078741" footer="0.19685039370078741"/>
  <pageSetup paperSize="9" scale="7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J262"/>
  <sheetViews>
    <sheetView zoomScale="90" zoomScaleNormal="90" workbookViewId="0">
      <pane xSplit="3" ySplit="4" topLeftCell="I5" activePane="bottomRight" state="frozen"/>
      <selection activeCell="A5" sqref="A5"/>
      <selection pane="topRight" activeCell="A5" sqref="A5"/>
      <selection pane="bottomLeft" activeCell="A5" sqref="A5"/>
      <selection pane="bottomRight" activeCell="J240" sqref="J240"/>
    </sheetView>
  </sheetViews>
  <sheetFormatPr defaultColWidth="12.375" defaultRowHeight="58.5" customHeight="1"/>
  <cols>
    <col min="1" max="1" width="18.25" style="8" customWidth="1"/>
    <col min="2" max="2" width="23" style="7" customWidth="1"/>
    <col min="3" max="3" width="45.125" style="7" customWidth="1"/>
    <col min="4" max="4" width="15.625" style="120" bestFit="1" customWidth="1"/>
    <col min="5" max="6" width="17.625" style="120" bestFit="1" customWidth="1"/>
    <col min="7" max="7" width="15.625" style="120" bestFit="1" customWidth="1"/>
    <col min="8" max="9" width="17.625" style="120" bestFit="1" customWidth="1"/>
    <col min="10" max="10" width="21.25" style="6" customWidth="1"/>
    <col min="11" max="16384" width="12.375" style="7"/>
  </cols>
  <sheetData>
    <row r="1" spans="1:10" s="138" customFormat="1" ht="30.75">
      <c r="A1" s="139" t="s">
        <v>378</v>
      </c>
      <c r="B1" s="136"/>
      <c r="C1" s="136"/>
      <c r="D1" s="137"/>
      <c r="E1" s="137"/>
      <c r="F1" s="137"/>
      <c r="G1" s="137"/>
      <c r="H1" s="137"/>
      <c r="I1" s="137"/>
      <c r="J1" s="136"/>
    </row>
    <row r="2" spans="1:10" s="23" customFormat="1" ht="27.75" hidden="1">
      <c r="A2" s="135"/>
      <c r="B2" s="136"/>
      <c r="C2" s="136"/>
      <c r="D2" s="111"/>
      <c r="E2" s="111"/>
      <c r="F2" s="111"/>
      <c r="G2" s="111"/>
      <c r="H2" s="111"/>
      <c r="I2" s="137"/>
      <c r="J2" s="136"/>
    </row>
    <row r="3" spans="1:10" s="50" customFormat="1" ht="24" customHeight="1">
      <c r="A3" s="349" t="s">
        <v>111</v>
      </c>
      <c r="B3" s="349" t="s">
        <v>244</v>
      </c>
      <c r="C3" s="349" t="s">
        <v>246</v>
      </c>
      <c r="D3" s="348" t="s">
        <v>13</v>
      </c>
      <c r="E3" s="348"/>
      <c r="F3" s="348"/>
      <c r="G3" s="348"/>
      <c r="H3" s="348"/>
      <c r="I3" s="353" t="s">
        <v>353</v>
      </c>
      <c r="J3" s="349" t="s">
        <v>245</v>
      </c>
    </row>
    <row r="4" spans="1:10" s="50" customFormat="1" ht="27.75">
      <c r="A4" s="350"/>
      <c r="B4" s="350"/>
      <c r="C4" s="350"/>
      <c r="D4" s="121">
        <v>2555</v>
      </c>
      <c r="E4" s="121">
        <v>2556</v>
      </c>
      <c r="F4" s="121">
        <v>2557</v>
      </c>
      <c r="G4" s="121">
        <v>2558</v>
      </c>
      <c r="H4" s="121">
        <v>2559</v>
      </c>
      <c r="I4" s="354"/>
      <c r="J4" s="350"/>
    </row>
    <row r="5" spans="1:10" s="21" customFormat="1" ht="30" customHeight="1">
      <c r="A5" s="351" t="s">
        <v>169</v>
      </c>
      <c r="B5" s="334" t="s">
        <v>267</v>
      </c>
      <c r="C5" s="97"/>
      <c r="D5" s="99">
        <f>SUM(D6:D12)</f>
        <v>526779650</v>
      </c>
      <c r="E5" s="99">
        <f t="shared" ref="E5:H5" si="0">SUM(E6:E12)</f>
        <v>642916200</v>
      </c>
      <c r="F5" s="99">
        <f t="shared" si="0"/>
        <v>650669650</v>
      </c>
      <c r="G5" s="99">
        <f t="shared" si="0"/>
        <v>710826935</v>
      </c>
      <c r="H5" s="99">
        <f t="shared" si="0"/>
        <v>787000828.5</v>
      </c>
      <c r="I5" s="99">
        <f>SUM(D5:H5)</f>
        <v>3318193263.5</v>
      </c>
      <c r="J5" s="98"/>
    </row>
    <row r="6" spans="1:10" s="3" customFormat="1" ht="24">
      <c r="A6" s="352"/>
      <c r="B6" s="330"/>
      <c r="C6" s="27" t="s">
        <v>57</v>
      </c>
      <c r="D6" s="15">
        <f>22254050+50</f>
        <v>22254100</v>
      </c>
      <c r="E6" s="15">
        <v>25000000</v>
      </c>
      <c r="F6" s="15">
        <v>28000000</v>
      </c>
      <c r="G6" s="15">
        <v>32000000</v>
      </c>
      <c r="H6" s="15">
        <v>36000000</v>
      </c>
      <c r="I6" s="15">
        <f t="shared" ref="I6:I85" si="1">SUM(D6:H6)</f>
        <v>143254100</v>
      </c>
      <c r="J6" s="4" t="s">
        <v>56</v>
      </c>
    </row>
    <row r="7" spans="1:10" s="3" customFormat="1" ht="48">
      <c r="A7" s="352"/>
      <c r="B7" s="330"/>
      <c r="C7" s="27" t="s">
        <v>278</v>
      </c>
      <c r="D7" s="15">
        <v>1383400</v>
      </c>
      <c r="E7" s="15">
        <v>1500000</v>
      </c>
      <c r="F7" s="15">
        <v>1600000</v>
      </c>
      <c r="G7" s="15">
        <v>1700000</v>
      </c>
      <c r="H7" s="15">
        <v>1800000</v>
      </c>
      <c r="I7" s="15">
        <f t="shared" si="1"/>
        <v>7983400</v>
      </c>
      <c r="J7" s="4" t="s">
        <v>56</v>
      </c>
    </row>
    <row r="8" spans="1:10" s="3" customFormat="1" ht="72">
      <c r="A8" s="352"/>
      <c r="B8" s="330"/>
      <c r="C8" s="35" t="s">
        <v>124</v>
      </c>
      <c r="D8" s="15">
        <v>40957000</v>
      </c>
      <c r="E8" s="15">
        <v>47351700</v>
      </c>
      <c r="F8" s="15">
        <v>50328800</v>
      </c>
      <c r="G8" s="15">
        <v>54182000</v>
      </c>
      <c r="H8" s="15">
        <v>57586400</v>
      </c>
      <c r="I8" s="15">
        <f t="shared" si="1"/>
        <v>250405900</v>
      </c>
      <c r="J8" s="4" t="s">
        <v>110</v>
      </c>
    </row>
    <row r="9" spans="1:10" s="3" customFormat="1" ht="24">
      <c r="A9" s="352"/>
      <c r="B9" s="330"/>
      <c r="C9" s="35" t="s">
        <v>287</v>
      </c>
      <c r="D9" s="15">
        <v>3379000</v>
      </c>
      <c r="E9" s="15">
        <v>60891000</v>
      </c>
      <c r="F9" s="15">
        <v>13700000</v>
      </c>
      <c r="G9" s="15">
        <v>11750000</v>
      </c>
      <c r="H9" s="15">
        <v>21500000</v>
      </c>
      <c r="I9" s="15">
        <f t="shared" si="1"/>
        <v>111220000</v>
      </c>
      <c r="J9" s="4" t="s">
        <v>110</v>
      </c>
    </row>
    <row r="10" spans="1:10" s="3" customFormat="1" ht="48">
      <c r="A10" s="352"/>
      <c r="B10" s="330"/>
      <c r="C10" s="36" t="s">
        <v>187</v>
      </c>
      <c r="D10" s="15">
        <v>3000000</v>
      </c>
      <c r="E10" s="15">
        <v>3500000</v>
      </c>
      <c r="F10" s="15">
        <v>3500000</v>
      </c>
      <c r="G10" s="15">
        <v>4000000</v>
      </c>
      <c r="H10" s="15">
        <v>4000000</v>
      </c>
      <c r="I10" s="15">
        <f t="shared" si="1"/>
        <v>18000000</v>
      </c>
      <c r="J10" s="4" t="s">
        <v>110</v>
      </c>
    </row>
    <row r="11" spans="1:10" s="3" customFormat="1" ht="48">
      <c r="A11" s="352"/>
      <c r="B11" s="330"/>
      <c r="C11" s="154" t="s">
        <v>379</v>
      </c>
      <c r="D11" s="155">
        <f>E11*0.9</f>
        <v>430806150</v>
      </c>
      <c r="E11" s="155">
        <f>418673500+60000000</f>
        <v>478673500</v>
      </c>
      <c r="F11" s="155">
        <f>E11*0.1+E11</f>
        <v>526540850</v>
      </c>
      <c r="G11" s="155">
        <f t="shared" ref="G11:H11" si="2">F11*0.1+F11</f>
        <v>579194935</v>
      </c>
      <c r="H11" s="155">
        <f t="shared" si="2"/>
        <v>637114428.5</v>
      </c>
      <c r="I11" s="155"/>
      <c r="J11" s="17" t="s">
        <v>381</v>
      </c>
    </row>
    <row r="12" spans="1:10" s="3" customFormat="1" ht="24">
      <c r="A12" s="352"/>
      <c r="B12" s="335"/>
      <c r="C12" s="100" t="s">
        <v>312</v>
      </c>
      <c r="D12" s="102">
        <v>25000000</v>
      </c>
      <c r="E12" s="102">
        <v>26000000</v>
      </c>
      <c r="F12" s="102">
        <v>27000000</v>
      </c>
      <c r="G12" s="102">
        <v>28000000</v>
      </c>
      <c r="H12" s="102">
        <v>29000000</v>
      </c>
      <c r="I12" s="102">
        <f t="shared" si="1"/>
        <v>135000000</v>
      </c>
      <c r="J12" s="101" t="s">
        <v>94</v>
      </c>
    </row>
    <row r="13" spans="1:10" s="18" customFormat="1" ht="24">
      <c r="A13" s="352"/>
      <c r="B13" s="334" t="s">
        <v>268</v>
      </c>
      <c r="C13" s="125"/>
      <c r="D13" s="99">
        <f>SUM(D14:D21)</f>
        <v>460783540</v>
      </c>
      <c r="E13" s="99">
        <f>SUM(E14:E21)</f>
        <v>524220500</v>
      </c>
      <c r="F13" s="99">
        <f>SUM(F14:F21)</f>
        <v>580290060</v>
      </c>
      <c r="G13" s="99">
        <f>SUM(G14:G21)</f>
        <v>362023136</v>
      </c>
      <c r="H13" s="99">
        <f>SUM(H14:H21)</f>
        <v>693553869.60000002</v>
      </c>
      <c r="I13" s="99">
        <f t="shared" si="1"/>
        <v>2620871105.5999999</v>
      </c>
      <c r="J13" s="126"/>
    </row>
    <row r="14" spans="1:10" ht="24">
      <c r="A14" s="352"/>
      <c r="B14" s="331"/>
      <c r="C14" s="27" t="s">
        <v>27</v>
      </c>
      <c r="D14" s="15">
        <v>285658900</v>
      </c>
      <c r="E14" s="15">
        <v>332234000</v>
      </c>
      <c r="F14" s="15">
        <v>372778000</v>
      </c>
      <c r="G14" s="15">
        <v>137988000</v>
      </c>
      <c r="H14" s="15">
        <v>451225000</v>
      </c>
      <c r="I14" s="15">
        <f t="shared" si="1"/>
        <v>1579883900</v>
      </c>
      <c r="J14" s="4" t="s">
        <v>250</v>
      </c>
    </row>
    <row r="15" spans="1:10" ht="24">
      <c r="A15" s="352"/>
      <c r="B15" s="331"/>
      <c r="C15" s="27" t="s">
        <v>52</v>
      </c>
      <c r="D15" s="15">
        <v>338200</v>
      </c>
      <c r="E15" s="15">
        <v>960000</v>
      </c>
      <c r="F15" s="15">
        <v>990000</v>
      </c>
      <c r="G15" s="15">
        <v>1176000</v>
      </c>
      <c r="H15" s="15">
        <v>1344000</v>
      </c>
      <c r="I15" s="15">
        <f t="shared" si="1"/>
        <v>4808200</v>
      </c>
      <c r="J15" s="4" t="s">
        <v>50</v>
      </c>
    </row>
    <row r="16" spans="1:10" ht="24">
      <c r="A16" s="352"/>
      <c r="B16" s="331"/>
      <c r="C16" s="27" t="s">
        <v>288</v>
      </c>
      <c r="D16" s="15">
        <v>10536000</v>
      </c>
      <c r="E16" s="15">
        <v>11772900</v>
      </c>
      <c r="F16" s="15">
        <v>13008900</v>
      </c>
      <c r="G16" s="15">
        <v>14244900</v>
      </c>
      <c r="H16" s="15">
        <v>15480900</v>
      </c>
      <c r="I16" s="15">
        <f t="shared" si="1"/>
        <v>65043600</v>
      </c>
      <c r="J16" s="4" t="s">
        <v>50</v>
      </c>
    </row>
    <row r="17" spans="1:10" ht="24">
      <c r="A17" s="352"/>
      <c r="B17" s="331"/>
      <c r="C17" s="27" t="s">
        <v>289</v>
      </c>
      <c r="D17" s="15">
        <v>300000</v>
      </c>
      <c r="E17" s="15">
        <v>1500000</v>
      </c>
      <c r="F17" s="15">
        <v>2000000</v>
      </c>
      <c r="G17" s="15">
        <v>2000000</v>
      </c>
      <c r="H17" s="15">
        <v>2000000</v>
      </c>
      <c r="I17" s="15">
        <f t="shared" si="1"/>
        <v>7800000</v>
      </c>
      <c r="J17" s="4" t="s">
        <v>50</v>
      </c>
    </row>
    <row r="18" spans="1:10" ht="24">
      <c r="A18" s="352"/>
      <c r="B18" s="331"/>
      <c r="C18" s="27" t="s">
        <v>290</v>
      </c>
      <c r="D18" s="15">
        <v>69000</v>
      </c>
      <c r="E18" s="15">
        <v>76000</v>
      </c>
      <c r="F18" s="15">
        <v>83800</v>
      </c>
      <c r="G18" s="15">
        <v>92000</v>
      </c>
      <c r="H18" s="15">
        <v>101000</v>
      </c>
      <c r="I18" s="15">
        <f t="shared" si="1"/>
        <v>421800</v>
      </c>
      <c r="J18" s="4" t="s">
        <v>50</v>
      </c>
    </row>
    <row r="19" spans="1:10" ht="24">
      <c r="A19" s="352"/>
      <c r="B19" s="331"/>
      <c r="C19" s="27" t="s">
        <v>279</v>
      </c>
      <c r="D19" s="15">
        <v>39290000</v>
      </c>
      <c r="E19" s="15">
        <v>39270000</v>
      </c>
      <c r="F19" s="15">
        <v>39170000</v>
      </c>
      <c r="G19" s="15">
        <v>39040000</v>
      </c>
      <c r="H19" s="223">
        <v>39170000</v>
      </c>
      <c r="I19" s="223">
        <f t="shared" si="1"/>
        <v>195940000</v>
      </c>
      <c r="J19" s="4" t="s">
        <v>21</v>
      </c>
    </row>
    <row r="20" spans="1:10" s="3" customFormat="1" ht="24">
      <c r="A20" s="352"/>
      <c r="B20" s="331"/>
      <c r="C20" s="154" t="s">
        <v>380</v>
      </c>
      <c r="D20" s="155">
        <f>E20*0.9</f>
        <v>122977440</v>
      </c>
      <c r="E20" s="155">
        <f>86641600+50000000</f>
        <v>136641600</v>
      </c>
      <c r="F20" s="155">
        <f>E20*0.1+E20</f>
        <v>150305760</v>
      </c>
      <c r="G20" s="155">
        <f t="shared" ref="G20:H20" si="3">F20*0.1+F20</f>
        <v>165336336</v>
      </c>
      <c r="H20" s="155">
        <f t="shared" si="3"/>
        <v>181869969.59999999</v>
      </c>
      <c r="I20" s="223">
        <f t="shared" si="1"/>
        <v>757131105.60000002</v>
      </c>
      <c r="J20" s="17" t="s">
        <v>381</v>
      </c>
    </row>
    <row r="21" spans="1:10" ht="24">
      <c r="A21" s="352"/>
      <c r="B21" s="347"/>
      <c r="C21" s="127" t="s">
        <v>51</v>
      </c>
      <c r="D21" s="102">
        <v>1614000</v>
      </c>
      <c r="E21" s="102">
        <v>1766000</v>
      </c>
      <c r="F21" s="102">
        <v>1953600</v>
      </c>
      <c r="G21" s="102">
        <v>2145900</v>
      </c>
      <c r="H21" s="102">
        <v>2363000</v>
      </c>
      <c r="I21" s="102">
        <f t="shared" si="1"/>
        <v>9842500</v>
      </c>
      <c r="J21" s="101" t="s">
        <v>50</v>
      </c>
    </row>
    <row r="22" spans="1:10" s="18" customFormat="1" ht="24">
      <c r="A22" s="352"/>
      <c r="B22" s="331" t="s">
        <v>269</v>
      </c>
      <c r="C22" s="95"/>
      <c r="D22" s="96">
        <f>SUM(D23:D32)</f>
        <v>29964900</v>
      </c>
      <c r="E22" s="96">
        <f t="shared" ref="E22:H22" si="4">SUM(E23:E32)</f>
        <v>31498100</v>
      </c>
      <c r="F22" s="96">
        <f t="shared" si="4"/>
        <v>33524599.5</v>
      </c>
      <c r="G22" s="96">
        <f t="shared" si="4"/>
        <v>35914500</v>
      </c>
      <c r="H22" s="96">
        <f t="shared" si="4"/>
        <v>38441500</v>
      </c>
      <c r="I22" s="96">
        <f t="shared" si="1"/>
        <v>169343599.5</v>
      </c>
      <c r="J22" s="26"/>
    </row>
    <row r="23" spans="1:10" ht="24">
      <c r="A23" s="352"/>
      <c r="B23" s="331"/>
      <c r="C23" s="94" t="s">
        <v>254</v>
      </c>
      <c r="D23" s="15">
        <v>114400</v>
      </c>
      <c r="E23" s="15">
        <f>ROUND(D23*5%+D23,-2)</f>
        <v>120100</v>
      </c>
      <c r="F23" s="15">
        <f t="shared" ref="F23:H23" si="5">ROUND(E23*5%+E23,-2)</f>
        <v>126100</v>
      </c>
      <c r="G23" s="15">
        <f t="shared" si="5"/>
        <v>132400</v>
      </c>
      <c r="H23" s="15">
        <f t="shared" si="5"/>
        <v>139000</v>
      </c>
      <c r="I23" s="15">
        <f t="shared" si="1"/>
        <v>632000</v>
      </c>
      <c r="J23" s="4" t="s">
        <v>79</v>
      </c>
    </row>
    <row r="24" spans="1:10" ht="48">
      <c r="A24" s="352"/>
      <c r="B24" s="331"/>
      <c r="C24" s="93" t="s">
        <v>59</v>
      </c>
      <c r="D24" s="33">
        <f>1476022-22</f>
        <v>1476000</v>
      </c>
      <c r="E24" s="33">
        <f t="shared" ref="E24:H24" si="6">1476022-22</f>
        <v>1476000</v>
      </c>
      <c r="F24" s="33">
        <f t="shared" si="6"/>
        <v>1476000</v>
      </c>
      <c r="G24" s="33">
        <f t="shared" si="6"/>
        <v>1476000</v>
      </c>
      <c r="H24" s="33">
        <f t="shared" si="6"/>
        <v>1476000</v>
      </c>
      <c r="I24" s="33">
        <f t="shared" si="1"/>
        <v>7380000</v>
      </c>
      <c r="J24" s="4" t="s">
        <v>58</v>
      </c>
    </row>
    <row r="25" spans="1:10" ht="24">
      <c r="A25" s="352"/>
      <c r="B25" s="331"/>
      <c r="C25" s="93" t="s">
        <v>60</v>
      </c>
      <c r="D25" s="33">
        <f>9298280+20</f>
        <v>9298300</v>
      </c>
      <c r="E25" s="33">
        <f>9298280+20</f>
        <v>9298300</v>
      </c>
      <c r="F25" s="33">
        <f>9638448-48</f>
        <v>9638400</v>
      </c>
      <c r="G25" s="33">
        <f>10173612-12</f>
        <v>10173600</v>
      </c>
      <c r="H25" s="33">
        <f>10660752+48</f>
        <v>10660800</v>
      </c>
      <c r="I25" s="33">
        <f t="shared" si="1"/>
        <v>49069400</v>
      </c>
      <c r="J25" s="4" t="s">
        <v>58</v>
      </c>
    </row>
    <row r="26" spans="1:10" ht="48">
      <c r="A26" s="352"/>
      <c r="B26" s="331"/>
      <c r="C26" s="93" t="s">
        <v>61</v>
      </c>
      <c r="D26" s="33">
        <v>1118000</v>
      </c>
      <c r="E26" s="33">
        <v>1118000</v>
      </c>
      <c r="F26" s="33">
        <v>1118000</v>
      </c>
      <c r="G26" s="33">
        <v>1118000</v>
      </c>
      <c r="H26" s="33">
        <v>1118000</v>
      </c>
      <c r="I26" s="33">
        <f t="shared" si="1"/>
        <v>5590000</v>
      </c>
      <c r="J26" s="4" t="s">
        <v>58</v>
      </c>
    </row>
    <row r="27" spans="1:10" ht="48">
      <c r="A27" s="352"/>
      <c r="B27" s="331"/>
      <c r="C27" s="93" t="s">
        <v>62</v>
      </c>
      <c r="D27" s="33">
        <v>950000</v>
      </c>
      <c r="E27" s="33">
        <v>950000</v>
      </c>
      <c r="F27" s="33">
        <v>950000</v>
      </c>
      <c r="G27" s="33">
        <v>950000</v>
      </c>
      <c r="H27" s="33">
        <v>950000</v>
      </c>
      <c r="I27" s="33">
        <f t="shared" si="1"/>
        <v>4750000</v>
      </c>
      <c r="J27" s="4" t="s">
        <v>58</v>
      </c>
    </row>
    <row r="28" spans="1:10" ht="48">
      <c r="A28" s="352"/>
      <c r="B28" s="331"/>
      <c r="C28" s="93" t="s">
        <v>63</v>
      </c>
      <c r="D28" s="33">
        <v>116400</v>
      </c>
      <c r="E28" s="33">
        <v>116400</v>
      </c>
      <c r="F28" s="33">
        <v>116400</v>
      </c>
      <c r="G28" s="33">
        <v>116400</v>
      </c>
      <c r="H28" s="33">
        <v>116400</v>
      </c>
      <c r="I28" s="33">
        <f t="shared" si="1"/>
        <v>582000</v>
      </c>
      <c r="J28" s="4" t="s">
        <v>58</v>
      </c>
    </row>
    <row r="29" spans="1:10" ht="48">
      <c r="A29" s="352"/>
      <c r="B29" s="331"/>
      <c r="C29" s="93" t="s">
        <v>64</v>
      </c>
      <c r="D29" s="33">
        <v>74900</v>
      </c>
      <c r="E29" s="33">
        <v>74900</v>
      </c>
      <c r="F29" s="33">
        <v>74900</v>
      </c>
      <c r="G29" s="33">
        <v>74900</v>
      </c>
      <c r="H29" s="33">
        <v>74900</v>
      </c>
      <c r="I29" s="33">
        <f t="shared" si="1"/>
        <v>374500</v>
      </c>
      <c r="J29" s="4" t="s">
        <v>58</v>
      </c>
    </row>
    <row r="30" spans="1:10" ht="48">
      <c r="A30" s="352"/>
      <c r="B30" s="331"/>
      <c r="C30" s="93" t="s">
        <v>257</v>
      </c>
      <c r="D30" s="33">
        <v>1090900</v>
      </c>
      <c r="E30" s="33">
        <v>1090900</v>
      </c>
      <c r="F30" s="33">
        <v>1090900</v>
      </c>
      <c r="G30" s="33">
        <v>1090900</v>
      </c>
      <c r="H30" s="33">
        <v>1090900</v>
      </c>
      <c r="I30" s="33">
        <f t="shared" si="1"/>
        <v>5454500</v>
      </c>
      <c r="J30" s="4" t="s">
        <v>58</v>
      </c>
    </row>
    <row r="31" spans="1:10" ht="48">
      <c r="A31" s="352"/>
      <c r="B31" s="331"/>
      <c r="C31" s="93" t="s">
        <v>74</v>
      </c>
      <c r="D31" s="33">
        <v>450000</v>
      </c>
      <c r="E31" s="33">
        <v>450000</v>
      </c>
      <c r="F31" s="33">
        <v>450000</v>
      </c>
      <c r="G31" s="33">
        <v>450000</v>
      </c>
      <c r="H31" s="33">
        <v>450000</v>
      </c>
      <c r="I31" s="33">
        <f t="shared" si="1"/>
        <v>2250000</v>
      </c>
      <c r="J31" s="4" t="s">
        <v>58</v>
      </c>
    </row>
    <row r="32" spans="1:10" ht="24">
      <c r="A32" s="352"/>
      <c r="B32" s="331"/>
      <c r="C32" s="93" t="s">
        <v>307</v>
      </c>
      <c r="D32" s="33">
        <f>15275950+50</f>
        <v>15276000</v>
      </c>
      <c r="E32" s="33">
        <f>16803545-45</f>
        <v>16803500</v>
      </c>
      <c r="F32" s="33">
        <v>18483899.5</v>
      </c>
      <c r="G32" s="33">
        <f>20332289.45+10.55</f>
        <v>20332300</v>
      </c>
      <c r="H32" s="33">
        <f>22365518.395-18.395</f>
        <v>22365500</v>
      </c>
      <c r="I32" s="33">
        <f t="shared" si="1"/>
        <v>93261199.5</v>
      </c>
      <c r="J32" s="4" t="s">
        <v>76</v>
      </c>
    </row>
    <row r="33" spans="1:10" ht="24">
      <c r="A33" s="352"/>
      <c r="B33" s="330"/>
      <c r="C33" s="27" t="s">
        <v>339</v>
      </c>
      <c r="D33" s="74">
        <v>696250</v>
      </c>
      <c r="E33" s="74">
        <v>750000</v>
      </c>
      <c r="F33" s="74">
        <v>800000</v>
      </c>
      <c r="G33" s="74">
        <v>850000</v>
      </c>
      <c r="H33" s="74">
        <v>900000</v>
      </c>
      <c r="I33" s="74">
        <f t="shared" si="1"/>
        <v>3996250</v>
      </c>
      <c r="J33" s="4" t="s">
        <v>14</v>
      </c>
    </row>
    <row r="34" spans="1:10" s="3" customFormat="1" ht="24">
      <c r="A34" s="352"/>
      <c r="B34" s="330"/>
      <c r="C34" s="154" t="s">
        <v>382</v>
      </c>
      <c r="D34" s="155">
        <f>E34*0.9</f>
        <v>118465920</v>
      </c>
      <c r="E34" s="155">
        <f>81628800+50000000</f>
        <v>131628800</v>
      </c>
      <c r="F34" s="155">
        <f>E34*0.1+E34</f>
        <v>144791680</v>
      </c>
      <c r="G34" s="155">
        <f t="shared" ref="G34:H34" si="7">F34*0.1+F34</f>
        <v>159270848</v>
      </c>
      <c r="H34" s="155">
        <f t="shared" si="7"/>
        <v>175197932.80000001</v>
      </c>
      <c r="I34" s="155"/>
      <c r="J34" s="17" t="s">
        <v>381</v>
      </c>
    </row>
    <row r="35" spans="1:10" ht="24">
      <c r="A35" s="352"/>
      <c r="B35" s="335"/>
      <c r="C35" s="122" t="s">
        <v>347</v>
      </c>
      <c r="D35" s="124">
        <v>305660</v>
      </c>
      <c r="E35" s="124">
        <v>450000</v>
      </c>
      <c r="F35" s="124">
        <v>500000</v>
      </c>
      <c r="G35" s="124">
        <v>550000</v>
      </c>
      <c r="H35" s="124">
        <v>600000</v>
      </c>
      <c r="I35" s="124">
        <f t="shared" si="1"/>
        <v>2405660</v>
      </c>
      <c r="J35" s="123" t="s">
        <v>14</v>
      </c>
    </row>
    <row r="36" spans="1:10" s="18" customFormat="1" ht="24">
      <c r="A36" s="352"/>
      <c r="B36" s="331" t="s">
        <v>270</v>
      </c>
      <c r="C36" s="95"/>
      <c r="D36" s="96">
        <f>SUM(D37:D63)</f>
        <v>77853600</v>
      </c>
      <c r="E36" s="96">
        <f>SUM(E37:E63)</f>
        <v>84633200</v>
      </c>
      <c r="F36" s="96">
        <f>SUM(F37:F63)</f>
        <v>101317500</v>
      </c>
      <c r="G36" s="96">
        <f>SUM(G37:G63)</f>
        <v>121366600</v>
      </c>
      <c r="H36" s="96">
        <f>SUM(H37:H63)</f>
        <v>130753700</v>
      </c>
      <c r="I36" s="96">
        <f t="shared" si="1"/>
        <v>515924600</v>
      </c>
      <c r="J36" s="26"/>
    </row>
    <row r="37" spans="1:10" ht="72">
      <c r="A37" s="352"/>
      <c r="B37" s="330"/>
      <c r="C37" s="27" t="s">
        <v>25</v>
      </c>
      <c r="D37" s="15">
        <v>4263000</v>
      </c>
      <c r="E37" s="15">
        <f>4989906-6</f>
        <v>4989900</v>
      </c>
      <c r="F37" s="15">
        <f>5722284+16</f>
        <v>5722300</v>
      </c>
      <c r="G37" s="15">
        <f>6472284+16</f>
        <v>6472300</v>
      </c>
      <c r="H37" s="15">
        <f>7222284+16</f>
        <v>7222300</v>
      </c>
      <c r="I37" s="15">
        <f t="shared" si="1"/>
        <v>28669800</v>
      </c>
      <c r="J37" s="4" t="s">
        <v>250</v>
      </c>
    </row>
    <row r="38" spans="1:10" ht="48">
      <c r="A38" s="352"/>
      <c r="B38" s="330"/>
      <c r="C38" s="27" t="s">
        <v>26</v>
      </c>
      <c r="D38" s="15">
        <v>50800000</v>
      </c>
      <c r="E38" s="15">
        <v>54800000</v>
      </c>
      <c r="F38" s="15">
        <v>69000000</v>
      </c>
      <c r="G38" s="15">
        <v>86200000</v>
      </c>
      <c r="H38" s="15">
        <v>92200000</v>
      </c>
      <c r="I38" s="15">
        <f t="shared" si="1"/>
        <v>353000000</v>
      </c>
      <c r="J38" s="4" t="s">
        <v>250</v>
      </c>
    </row>
    <row r="39" spans="1:10" ht="24">
      <c r="A39" s="352"/>
      <c r="B39" s="330"/>
      <c r="C39" s="27" t="s">
        <v>28</v>
      </c>
      <c r="D39" s="15">
        <v>500000</v>
      </c>
      <c r="E39" s="15">
        <v>500000</v>
      </c>
      <c r="F39" s="15">
        <v>500000</v>
      </c>
      <c r="G39" s="15">
        <v>500000</v>
      </c>
      <c r="H39" s="15">
        <v>500000</v>
      </c>
      <c r="I39" s="15">
        <f t="shared" si="1"/>
        <v>2500000</v>
      </c>
      <c r="J39" s="4" t="s">
        <v>250</v>
      </c>
    </row>
    <row r="40" spans="1:10" ht="96">
      <c r="A40" s="352"/>
      <c r="B40" s="330"/>
      <c r="C40" s="27" t="s">
        <v>29</v>
      </c>
      <c r="D40" s="15">
        <v>200000</v>
      </c>
      <c r="E40" s="15">
        <v>300000</v>
      </c>
      <c r="F40" s="15">
        <v>400000</v>
      </c>
      <c r="G40" s="15">
        <v>500000</v>
      </c>
      <c r="H40" s="15">
        <v>600000</v>
      </c>
      <c r="I40" s="15">
        <f t="shared" si="1"/>
        <v>2000000</v>
      </c>
      <c r="J40" s="4" t="s">
        <v>250</v>
      </c>
    </row>
    <row r="41" spans="1:10" ht="48">
      <c r="A41" s="352"/>
      <c r="B41" s="330"/>
      <c r="C41" s="27" t="s">
        <v>30</v>
      </c>
      <c r="D41" s="15">
        <v>1500000</v>
      </c>
      <c r="E41" s="15">
        <v>2000000</v>
      </c>
      <c r="F41" s="15">
        <v>2500000</v>
      </c>
      <c r="G41" s="15">
        <v>3000000</v>
      </c>
      <c r="H41" s="15">
        <v>3500000</v>
      </c>
      <c r="I41" s="15">
        <f t="shared" si="1"/>
        <v>12500000</v>
      </c>
      <c r="J41" s="4" t="s">
        <v>250</v>
      </c>
    </row>
    <row r="42" spans="1:10" ht="48">
      <c r="A42" s="352"/>
      <c r="B42" s="330"/>
      <c r="C42" s="27" t="s">
        <v>251</v>
      </c>
      <c r="D42" s="15">
        <v>600000</v>
      </c>
      <c r="E42" s="15">
        <v>700000</v>
      </c>
      <c r="F42" s="15">
        <v>800000</v>
      </c>
      <c r="G42" s="15">
        <v>900000</v>
      </c>
      <c r="H42" s="15">
        <v>1000000</v>
      </c>
      <c r="I42" s="15">
        <f t="shared" si="1"/>
        <v>4000000</v>
      </c>
      <c r="J42" s="4" t="s">
        <v>250</v>
      </c>
    </row>
    <row r="43" spans="1:10" ht="72">
      <c r="A43" s="352"/>
      <c r="B43" s="330"/>
      <c r="C43" s="27" t="s">
        <v>33</v>
      </c>
      <c r="D43" s="15">
        <v>50000</v>
      </c>
      <c r="E43" s="15">
        <v>70000</v>
      </c>
      <c r="F43" s="15">
        <v>90000</v>
      </c>
      <c r="G43" s="15">
        <v>110000</v>
      </c>
      <c r="H43" s="15">
        <v>130000</v>
      </c>
      <c r="I43" s="15">
        <f t="shared" si="1"/>
        <v>450000</v>
      </c>
      <c r="J43" s="4" t="s">
        <v>250</v>
      </c>
    </row>
    <row r="44" spans="1:10" ht="48">
      <c r="A44" s="352"/>
      <c r="B44" s="330"/>
      <c r="C44" s="94" t="s">
        <v>371</v>
      </c>
      <c r="D44" s="15">
        <f>679708+30000+427000-8</f>
        <v>1136700</v>
      </c>
      <c r="E44" s="15">
        <f>ROUND(D44*5%+D44,-2)</f>
        <v>1193500</v>
      </c>
      <c r="F44" s="15">
        <f>ROUND(E44*5%+E44,-2)</f>
        <v>1253200</v>
      </c>
      <c r="G44" s="15">
        <f>ROUND(F44*5%+F44,-2)</f>
        <v>1315900</v>
      </c>
      <c r="H44" s="15">
        <f>ROUND(G44*5%+G44,-2)</f>
        <v>1381700</v>
      </c>
      <c r="I44" s="15">
        <f t="shared" si="1"/>
        <v>6281000</v>
      </c>
      <c r="J44" s="4" t="s">
        <v>79</v>
      </c>
    </row>
    <row r="45" spans="1:10" ht="48">
      <c r="A45" s="352"/>
      <c r="B45" s="330"/>
      <c r="C45" s="29" t="s">
        <v>128</v>
      </c>
      <c r="D45" s="15">
        <v>300000</v>
      </c>
      <c r="E45" s="15">
        <v>330000</v>
      </c>
      <c r="F45" s="15">
        <v>363000</v>
      </c>
      <c r="G45" s="15">
        <v>399300</v>
      </c>
      <c r="H45" s="15">
        <v>439200</v>
      </c>
      <c r="I45" s="15">
        <f t="shared" si="1"/>
        <v>1831500</v>
      </c>
      <c r="J45" s="4" t="s">
        <v>110</v>
      </c>
    </row>
    <row r="46" spans="1:10" ht="48">
      <c r="A46" s="352"/>
      <c r="B46" s="330"/>
      <c r="C46" s="29" t="s">
        <v>129</v>
      </c>
      <c r="D46" s="15">
        <v>150000</v>
      </c>
      <c r="E46" s="15">
        <v>150000</v>
      </c>
      <c r="F46" s="15">
        <v>150000</v>
      </c>
      <c r="G46" s="15">
        <v>150000</v>
      </c>
      <c r="H46" s="15">
        <v>150000</v>
      </c>
      <c r="I46" s="15">
        <f t="shared" si="1"/>
        <v>750000</v>
      </c>
      <c r="J46" s="4" t="s">
        <v>110</v>
      </c>
    </row>
    <row r="47" spans="1:10" ht="48">
      <c r="A47" s="352"/>
      <c r="B47" s="330"/>
      <c r="C47" s="29" t="s">
        <v>130</v>
      </c>
      <c r="D47" s="15">
        <v>660000</v>
      </c>
      <c r="E47" s="15">
        <v>726000</v>
      </c>
      <c r="F47" s="15">
        <v>798600</v>
      </c>
      <c r="G47" s="15">
        <v>878500</v>
      </c>
      <c r="H47" s="15">
        <v>966300</v>
      </c>
      <c r="I47" s="15">
        <f t="shared" si="1"/>
        <v>4029400</v>
      </c>
      <c r="J47" s="4" t="s">
        <v>110</v>
      </c>
    </row>
    <row r="48" spans="1:10" ht="48">
      <c r="A48" s="352"/>
      <c r="B48" s="330"/>
      <c r="C48" s="29" t="s">
        <v>131</v>
      </c>
      <c r="D48" s="15">
        <v>100000</v>
      </c>
      <c r="E48" s="15">
        <v>100000</v>
      </c>
      <c r="F48" s="15">
        <v>100000</v>
      </c>
      <c r="G48" s="15">
        <v>100000</v>
      </c>
      <c r="H48" s="15">
        <v>100000</v>
      </c>
      <c r="I48" s="15">
        <f t="shared" si="1"/>
        <v>500000</v>
      </c>
      <c r="J48" s="4" t="s">
        <v>110</v>
      </c>
    </row>
    <row r="49" spans="1:10" ht="48">
      <c r="A49" s="352"/>
      <c r="B49" s="330"/>
      <c r="C49" s="29" t="s">
        <v>132</v>
      </c>
      <c r="D49" s="15">
        <v>59000</v>
      </c>
      <c r="E49" s="15">
        <v>0</v>
      </c>
      <c r="F49" s="15">
        <v>0</v>
      </c>
      <c r="G49" s="15">
        <v>0</v>
      </c>
      <c r="H49" s="15">
        <v>70000</v>
      </c>
      <c r="I49" s="15">
        <f t="shared" si="1"/>
        <v>129000</v>
      </c>
      <c r="J49" s="4" t="s">
        <v>110</v>
      </c>
    </row>
    <row r="50" spans="1:10" ht="24">
      <c r="A50" s="352"/>
      <c r="B50" s="330"/>
      <c r="C50" s="29" t="s">
        <v>133</v>
      </c>
      <c r="D50" s="15">
        <v>21500</v>
      </c>
      <c r="E50" s="15">
        <v>0</v>
      </c>
      <c r="F50" s="15">
        <v>0</v>
      </c>
      <c r="G50" s="15">
        <v>0</v>
      </c>
      <c r="H50" s="15">
        <v>30000</v>
      </c>
      <c r="I50" s="15">
        <f t="shared" si="1"/>
        <v>51500</v>
      </c>
      <c r="J50" s="4" t="s">
        <v>110</v>
      </c>
    </row>
    <row r="51" spans="1:10" ht="48">
      <c r="A51" s="352"/>
      <c r="B51" s="330"/>
      <c r="C51" s="29" t="s">
        <v>134</v>
      </c>
      <c r="D51" s="15">
        <v>1705600</v>
      </c>
      <c r="E51" s="15">
        <v>1876100</v>
      </c>
      <c r="F51" s="15">
        <v>2063700</v>
      </c>
      <c r="G51" s="15">
        <v>2270100</v>
      </c>
      <c r="H51" s="15">
        <v>2497100</v>
      </c>
      <c r="I51" s="15">
        <f t="shared" si="1"/>
        <v>10412600</v>
      </c>
      <c r="J51" s="4" t="s">
        <v>110</v>
      </c>
    </row>
    <row r="52" spans="1:10" ht="24">
      <c r="A52" s="352"/>
      <c r="B52" s="330"/>
      <c r="C52" s="93" t="s">
        <v>65</v>
      </c>
      <c r="D52" s="33">
        <v>300000</v>
      </c>
      <c r="E52" s="33">
        <v>300000</v>
      </c>
      <c r="F52" s="33">
        <v>300000</v>
      </c>
      <c r="G52" s="33">
        <v>300000</v>
      </c>
      <c r="H52" s="33">
        <v>300000</v>
      </c>
      <c r="I52" s="33">
        <f t="shared" si="1"/>
        <v>1500000</v>
      </c>
      <c r="J52" s="4" t="s">
        <v>58</v>
      </c>
    </row>
    <row r="53" spans="1:10" ht="24">
      <c r="A53" s="352"/>
      <c r="B53" s="330"/>
      <c r="C53" s="93" t="s">
        <v>66</v>
      </c>
      <c r="D53" s="33">
        <f>429705-5</f>
        <v>429700</v>
      </c>
      <c r="E53" s="33">
        <f t="shared" ref="E53:H53" si="8">429705-5</f>
        <v>429700</v>
      </c>
      <c r="F53" s="33">
        <f t="shared" si="8"/>
        <v>429700</v>
      </c>
      <c r="G53" s="33">
        <f t="shared" si="8"/>
        <v>429700</v>
      </c>
      <c r="H53" s="33">
        <f t="shared" si="8"/>
        <v>429700</v>
      </c>
      <c r="I53" s="33">
        <f t="shared" si="1"/>
        <v>2148500</v>
      </c>
      <c r="J53" s="4" t="s">
        <v>58</v>
      </c>
    </row>
    <row r="54" spans="1:10" ht="48">
      <c r="A54" s="352"/>
      <c r="B54" s="330"/>
      <c r="C54" s="93" t="s">
        <v>67</v>
      </c>
      <c r="D54" s="33">
        <v>203800</v>
      </c>
      <c r="E54" s="33">
        <v>203800</v>
      </c>
      <c r="F54" s="33">
        <v>203800</v>
      </c>
      <c r="G54" s="33">
        <v>203800</v>
      </c>
      <c r="H54" s="33">
        <v>203800</v>
      </c>
      <c r="I54" s="33">
        <f t="shared" si="1"/>
        <v>1019000</v>
      </c>
      <c r="J54" s="4" t="s">
        <v>58</v>
      </c>
    </row>
    <row r="55" spans="1:10" ht="48">
      <c r="A55" s="352"/>
      <c r="B55" s="330"/>
      <c r="C55" s="93" t="s">
        <v>291</v>
      </c>
      <c r="D55" s="33">
        <v>32200</v>
      </c>
      <c r="E55" s="33">
        <v>40000</v>
      </c>
      <c r="F55" s="33">
        <v>40000</v>
      </c>
      <c r="G55" s="33">
        <v>40000</v>
      </c>
      <c r="H55" s="33">
        <v>40000</v>
      </c>
      <c r="I55" s="33">
        <f t="shared" si="1"/>
        <v>192200</v>
      </c>
      <c r="J55" s="4" t="s">
        <v>50</v>
      </c>
    </row>
    <row r="56" spans="1:10" ht="24">
      <c r="A56" s="352"/>
      <c r="B56" s="330"/>
      <c r="C56" s="93" t="s">
        <v>293</v>
      </c>
      <c r="D56" s="33">
        <v>2000</v>
      </c>
      <c r="E56" s="33">
        <v>15000</v>
      </c>
      <c r="F56" s="33">
        <v>20000</v>
      </c>
      <c r="G56" s="33">
        <v>20000</v>
      </c>
      <c r="H56" s="33">
        <v>20000</v>
      </c>
      <c r="I56" s="33">
        <f t="shared" si="1"/>
        <v>77000</v>
      </c>
      <c r="J56" s="4" t="s">
        <v>50</v>
      </c>
    </row>
    <row r="57" spans="1:10" ht="48">
      <c r="A57" s="352"/>
      <c r="B57" s="330"/>
      <c r="C57" s="93" t="s">
        <v>55</v>
      </c>
      <c r="D57" s="33">
        <v>0</v>
      </c>
      <c r="E57" s="33">
        <v>100000</v>
      </c>
      <c r="F57" s="33">
        <v>100000</v>
      </c>
      <c r="G57" s="33">
        <v>100000</v>
      </c>
      <c r="H57" s="33">
        <v>100000</v>
      </c>
      <c r="I57" s="33">
        <f t="shared" si="1"/>
        <v>400000</v>
      </c>
      <c r="J57" s="4" t="s">
        <v>50</v>
      </c>
    </row>
    <row r="58" spans="1:10" ht="24">
      <c r="A58" s="352"/>
      <c r="B58" s="330"/>
      <c r="C58" s="93" t="s">
        <v>310</v>
      </c>
      <c r="D58" s="33">
        <v>3650000</v>
      </c>
      <c r="E58" s="33">
        <v>4245000</v>
      </c>
      <c r="F58" s="33">
        <v>4860250</v>
      </c>
      <c r="G58" s="33">
        <f>5498787.5+12.5</f>
        <v>5498800</v>
      </c>
      <c r="H58" s="33">
        <f>6164105.63-5.63</f>
        <v>6164100</v>
      </c>
      <c r="I58" s="33">
        <f t="shared" si="1"/>
        <v>24418150</v>
      </c>
      <c r="J58" s="4" t="s">
        <v>123</v>
      </c>
    </row>
    <row r="59" spans="1:10" ht="48">
      <c r="A59" s="352"/>
      <c r="B59" s="330"/>
      <c r="C59" s="46" t="s">
        <v>98</v>
      </c>
      <c r="D59" s="33">
        <v>3995100</v>
      </c>
      <c r="E59" s="33">
        <v>4194900</v>
      </c>
      <c r="F59" s="33">
        <v>4404600</v>
      </c>
      <c r="G59" s="33">
        <v>4624900</v>
      </c>
      <c r="H59" s="33">
        <v>4856100</v>
      </c>
      <c r="I59" s="33">
        <f t="shared" si="1"/>
        <v>22075600</v>
      </c>
      <c r="J59" s="4" t="s">
        <v>97</v>
      </c>
    </row>
    <row r="60" spans="1:10" ht="24">
      <c r="A60" s="352"/>
      <c r="B60" s="330"/>
      <c r="C60" s="46" t="s">
        <v>99</v>
      </c>
      <c r="D60" s="33">
        <v>500000</v>
      </c>
      <c r="E60" s="33">
        <v>525000</v>
      </c>
      <c r="F60" s="33">
        <v>551250</v>
      </c>
      <c r="G60" s="33">
        <v>578800</v>
      </c>
      <c r="H60" s="33">
        <v>607800</v>
      </c>
      <c r="I60" s="33">
        <f t="shared" si="1"/>
        <v>2762850</v>
      </c>
      <c r="J60" s="4" t="s">
        <v>97</v>
      </c>
    </row>
    <row r="61" spans="1:10" ht="24">
      <c r="A61" s="352"/>
      <c r="B61" s="330"/>
      <c r="C61" s="46" t="s">
        <v>100</v>
      </c>
      <c r="D61" s="33">
        <v>53000</v>
      </c>
      <c r="E61" s="33">
        <f>55650+50</f>
        <v>55700</v>
      </c>
      <c r="F61" s="33">
        <v>58500</v>
      </c>
      <c r="G61" s="33">
        <v>61500</v>
      </c>
      <c r="H61" s="33">
        <v>64600</v>
      </c>
      <c r="I61" s="33">
        <f t="shared" si="1"/>
        <v>293300</v>
      </c>
      <c r="J61" s="4" t="s">
        <v>97</v>
      </c>
    </row>
    <row r="62" spans="1:10" ht="48">
      <c r="A62" s="352"/>
      <c r="B62" s="330"/>
      <c r="C62" s="27" t="s">
        <v>101</v>
      </c>
      <c r="D62" s="33">
        <v>1332000</v>
      </c>
      <c r="E62" s="33">
        <v>1398600</v>
      </c>
      <c r="F62" s="33">
        <v>1468600</v>
      </c>
      <c r="G62" s="33">
        <v>1543000</v>
      </c>
      <c r="H62" s="33">
        <v>1621000</v>
      </c>
      <c r="I62" s="33">
        <f t="shared" si="1"/>
        <v>7363200</v>
      </c>
      <c r="J62" s="4" t="s">
        <v>97</v>
      </c>
    </row>
    <row r="63" spans="1:10" ht="72">
      <c r="A63" s="352"/>
      <c r="B63" s="330"/>
      <c r="C63" s="27" t="s">
        <v>280</v>
      </c>
      <c r="D63" s="33">
        <v>5310000</v>
      </c>
      <c r="E63" s="33">
        <v>5390000</v>
      </c>
      <c r="F63" s="33">
        <v>5140000</v>
      </c>
      <c r="G63" s="33">
        <v>5170000</v>
      </c>
      <c r="H63" s="33">
        <v>5560000</v>
      </c>
      <c r="I63" s="33">
        <f t="shared" si="1"/>
        <v>26570000</v>
      </c>
      <c r="J63" s="4" t="s">
        <v>21</v>
      </c>
    </row>
    <row r="64" spans="1:10" ht="24">
      <c r="A64" s="352"/>
      <c r="B64" s="330"/>
      <c r="C64" s="27" t="s">
        <v>340</v>
      </c>
      <c r="D64" s="33">
        <v>138500</v>
      </c>
      <c r="E64" s="33">
        <v>150000</v>
      </c>
      <c r="F64" s="33">
        <v>170000</v>
      </c>
      <c r="G64" s="33">
        <v>200000</v>
      </c>
      <c r="H64" s="33">
        <v>220000</v>
      </c>
      <c r="I64" s="33">
        <f t="shared" si="1"/>
        <v>878500</v>
      </c>
      <c r="J64" s="4" t="s">
        <v>14</v>
      </c>
    </row>
    <row r="65" spans="1:10" ht="24">
      <c r="A65" s="352"/>
      <c r="B65" s="330"/>
      <c r="C65" s="27" t="s">
        <v>89</v>
      </c>
      <c r="D65" s="33">
        <v>365000</v>
      </c>
      <c r="E65" s="33">
        <v>400000</v>
      </c>
      <c r="F65" s="33">
        <v>450000</v>
      </c>
      <c r="G65" s="33">
        <v>500000</v>
      </c>
      <c r="H65" s="33">
        <v>550000</v>
      </c>
      <c r="I65" s="33">
        <f t="shared" si="1"/>
        <v>2265000</v>
      </c>
      <c r="J65" s="4" t="s">
        <v>14</v>
      </c>
    </row>
    <row r="66" spans="1:10" ht="24">
      <c r="A66" s="352"/>
      <c r="B66" s="330"/>
      <c r="C66" s="27" t="s">
        <v>341</v>
      </c>
      <c r="D66" s="74">
        <v>61000</v>
      </c>
      <c r="E66" s="74">
        <v>80000</v>
      </c>
      <c r="F66" s="74">
        <v>100000</v>
      </c>
      <c r="G66" s="74">
        <v>150000</v>
      </c>
      <c r="H66" s="74">
        <v>200000</v>
      </c>
      <c r="I66" s="74">
        <f t="shared" si="1"/>
        <v>591000</v>
      </c>
      <c r="J66" s="4" t="s">
        <v>14</v>
      </c>
    </row>
    <row r="67" spans="1:10" ht="24">
      <c r="A67" s="352"/>
      <c r="B67" s="330"/>
      <c r="C67" s="224" t="s">
        <v>348</v>
      </c>
      <c r="D67" s="74">
        <v>294600</v>
      </c>
      <c r="E67" s="74">
        <v>350000</v>
      </c>
      <c r="F67" s="74">
        <v>400000</v>
      </c>
      <c r="G67" s="74">
        <v>450000</v>
      </c>
      <c r="H67" s="74">
        <v>500000</v>
      </c>
      <c r="I67" s="74">
        <f t="shared" si="1"/>
        <v>1994600</v>
      </c>
      <c r="J67" s="225" t="s">
        <v>14</v>
      </c>
    </row>
    <row r="68" spans="1:10" ht="54" customHeight="1">
      <c r="A68" s="12"/>
      <c r="B68" s="232"/>
      <c r="C68" s="27" t="s">
        <v>406</v>
      </c>
      <c r="D68" s="33">
        <v>10000</v>
      </c>
      <c r="E68" s="33">
        <v>10000</v>
      </c>
      <c r="F68" s="33">
        <v>10000</v>
      </c>
      <c r="G68" s="33">
        <v>10000</v>
      </c>
      <c r="H68" s="33">
        <v>10000</v>
      </c>
      <c r="I68" s="74">
        <f t="shared" si="1"/>
        <v>50000</v>
      </c>
      <c r="J68" s="4" t="s">
        <v>409</v>
      </c>
    </row>
    <row r="69" spans="1:10" ht="47.25" customHeight="1">
      <c r="A69" s="12"/>
      <c r="B69" s="232"/>
      <c r="C69" s="27" t="s">
        <v>407</v>
      </c>
      <c r="D69" s="33">
        <v>3000</v>
      </c>
      <c r="E69" s="33">
        <v>3000</v>
      </c>
      <c r="F69" s="33">
        <v>3000</v>
      </c>
      <c r="G69" s="33">
        <v>3000</v>
      </c>
      <c r="H69" s="33">
        <v>3000</v>
      </c>
      <c r="I69" s="74">
        <f t="shared" si="1"/>
        <v>15000</v>
      </c>
      <c r="J69" s="4" t="s">
        <v>409</v>
      </c>
    </row>
    <row r="70" spans="1:10" ht="48">
      <c r="A70" s="12"/>
      <c r="B70" s="232"/>
      <c r="C70" s="27" t="s">
        <v>408</v>
      </c>
      <c r="D70" s="33">
        <v>5000</v>
      </c>
      <c r="E70" s="33">
        <v>5000</v>
      </c>
      <c r="F70" s="33">
        <v>5000</v>
      </c>
      <c r="G70" s="33">
        <v>5000</v>
      </c>
      <c r="H70" s="33">
        <v>5000</v>
      </c>
      <c r="I70" s="74">
        <f t="shared" si="1"/>
        <v>25000</v>
      </c>
      <c r="J70" s="4" t="s">
        <v>409</v>
      </c>
    </row>
    <row r="71" spans="1:10" ht="24">
      <c r="A71" s="235"/>
      <c r="B71" s="236"/>
      <c r="C71" s="224" t="s">
        <v>410</v>
      </c>
      <c r="D71" s="74">
        <v>400000</v>
      </c>
      <c r="E71" s="74">
        <v>400000</v>
      </c>
      <c r="F71" s="74">
        <v>400000</v>
      </c>
      <c r="G71" s="74">
        <v>400000</v>
      </c>
      <c r="H71" s="74">
        <v>400000</v>
      </c>
      <c r="I71" s="74"/>
      <c r="J71" s="17"/>
    </row>
    <row r="72" spans="1:10" ht="48">
      <c r="A72" s="235"/>
      <c r="B72" s="236"/>
      <c r="C72" s="224" t="s">
        <v>411</v>
      </c>
      <c r="D72" s="74">
        <v>8000</v>
      </c>
      <c r="E72" s="74">
        <v>8000</v>
      </c>
      <c r="F72" s="74">
        <v>8000</v>
      </c>
      <c r="G72" s="74">
        <v>8000</v>
      </c>
      <c r="H72" s="74">
        <v>8000</v>
      </c>
      <c r="I72" s="74"/>
      <c r="J72" s="17"/>
    </row>
    <row r="73" spans="1:10" ht="24">
      <c r="A73" s="235"/>
      <c r="B73" s="236"/>
      <c r="C73" s="224"/>
      <c r="D73" s="74"/>
      <c r="E73" s="74"/>
      <c r="F73" s="74"/>
      <c r="G73" s="74"/>
      <c r="H73" s="74"/>
      <c r="I73" s="74"/>
      <c r="J73" s="17"/>
    </row>
    <row r="74" spans="1:10" ht="24">
      <c r="A74" s="235"/>
      <c r="B74" s="236"/>
      <c r="C74" s="224"/>
      <c r="D74" s="74"/>
      <c r="E74" s="74"/>
      <c r="F74" s="74"/>
      <c r="G74" s="74"/>
      <c r="H74" s="74"/>
      <c r="I74" s="74"/>
      <c r="J74" s="17"/>
    </row>
    <row r="75" spans="1:10" ht="24">
      <c r="A75" s="235"/>
      <c r="B75" s="236"/>
      <c r="C75" s="224"/>
      <c r="D75" s="74"/>
      <c r="E75" s="74"/>
      <c r="F75" s="74"/>
      <c r="G75" s="74"/>
      <c r="H75" s="74"/>
      <c r="I75" s="74"/>
      <c r="J75" s="17"/>
    </row>
    <row r="76" spans="1:10" ht="24">
      <c r="A76" s="235"/>
      <c r="B76" s="236"/>
      <c r="C76" s="224"/>
      <c r="D76" s="74"/>
      <c r="E76" s="74"/>
      <c r="F76" s="74"/>
      <c r="G76" s="74"/>
      <c r="H76" s="74"/>
      <c r="I76" s="74"/>
      <c r="J76" s="17"/>
    </row>
    <row r="77" spans="1:10" ht="24">
      <c r="A77" s="235"/>
      <c r="B77" s="236"/>
      <c r="C77" s="224"/>
      <c r="D77" s="74"/>
      <c r="E77" s="74"/>
      <c r="F77" s="74"/>
      <c r="G77" s="74"/>
      <c r="H77" s="74"/>
      <c r="I77" s="74"/>
      <c r="J77" s="17"/>
    </row>
    <row r="78" spans="1:10" ht="24">
      <c r="A78" s="235"/>
      <c r="B78" s="236"/>
      <c r="C78" s="224"/>
      <c r="D78" s="74"/>
      <c r="E78" s="74"/>
      <c r="F78" s="74"/>
      <c r="G78" s="74"/>
      <c r="H78" s="74"/>
      <c r="I78" s="74"/>
      <c r="J78" s="17"/>
    </row>
    <row r="79" spans="1:10" ht="24">
      <c r="A79" s="235"/>
      <c r="B79" s="236"/>
      <c r="C79" s="224"/>
      <c r="D79" s="74"/>
      <c r="E79" s="74"/>
      <c r="F79" s="74"/>
      <c r="G79" s="74"/>
      <c r="H79" s="74"/>
      <c r="I79" s="74"/>
      <c r="J79" s="17"/>
    </row>
    <row r="80" spans="1:10" ht="24">
      <c r="A80" s="233"/>
      <c r="B80" s="234"/>
      <c r="C80" s="127"/>
      <c r="D80" s="124"/>
      <c r="E80" s="124"/>
      <c r="F80" s="124"/>
      <c r="G80" s="124"/>
      <c r="H80" s="124"/>
      <c r="I80" s="124"/>
      <c r="J80" s="101"/>
    </row>
    <row r="81" spans="1:10" s="23" customFormat="1" ht="28.5" thickBot="1">
      <c r="A81" s="226"/>
      <c r="B81" s="227"/>
      <c r="C81" s="228" t="s">
        <v>370</v>
      </c>
      <c r="D81" s="229">
        <f>SUM(D36,D22,D13,D5)</f>
        <v>1095381690</v>
      </c>
      <c r="E81" s="229">
        <f>SUM(E36,E22,E13,E5)</f>
        <v>1283268000</v>
      </c>
      <c r="F81" s="229">
        <f>SUM(F36,F22,F13,F5)</f>
        <v>1365801809.5</v>
      </c>
      <c r="G81" s="229">
        <f>SUM(G36,G22,G13,G5)</f>
        <v>1230131171</v>
      </c>
      <c r="H81" s="229">
        <f>SUM(H36,H22,H13,H5)</f>
        <v>1649749898.0999999</v>
      </c>
      <c r="I81" s="230">
        <f t="shared" si="1"/>
        <v>6624332568.6000004</v>
      </c>
      <c r="J81" s="231"/>
    </row>
    <row r="82" spans="1:10" s="18" customFormat="1" ht="24" customHeight="1">
      <c r="A82" s="328" t="s">
        <v>11</v>
      </c>
      <c r="B82" s="341" t="s">
        <v>352</v>
      </c>
      <c r="C82" s="128"/>
      <c r="D82" s="130">
        <f>SUM(D83:D92)</f>
        <v>46428100</v>
      </c>
      <c r="E82" s="130">
        <f>SUM(E83:E92)</f>
        <v>49990800</v>
      </c>
      <c r="F82" s="130">
        <f>SUM(F83:F92)</f>
        <v>55480200</v>
      </c>
      <c r="G82" s="130">
        <f>SUM(G83:G92)</f>
        <v>59837500</v>
      </c>
      <c r="H82" s="130">
        <f>SUM(H83:H92)</f>
        <v>65836900</v>
      </c>
      <c r="I82" s="130">
        <f t="shared" si="1"/>
        <v>277573500</v>
      </c>
      <c r="J82" s="129"/>
    </row>
    <row r="83" spans="1:10" ht="24">
      <c r="A83" s="312"/>
      <c r="B83" s="330"/>
      <c r="C83" s="27" t="s">
        <v>324</v>
      </c>
      <c r="D83" s="15">
        <v>1545000</v>
      </c>
      <c r="E83" s="15">
        <v>1700000</v>
      </c>
      <c r="F83" s="15">
        <v>1900000</v>
      </c>
      <c r="G83" s="15">
        <v>2100000</v>
      </c>
      <c r="H83" s="15">
        <v>2300000</v>
      </c>
      <c r="I83" s="15">
        <f t="shared" si="1"/>
        <v>9545000</v>
      </c>
      <c r="J83" s="4" t="s">
        <v>250</v>
      </c>
    </row>
    <row r="84" spans="1:10" ht="48">
      <c r="A84" s="312"/>
      <c r="B84" s="330"/>
      <c r="C84" s="13" t="s">
        <v>35</v>
      </c>
      <c r="D84" s="15">
        <v>200000</v>
      </c>
      <c r="E84" s="15">
        <v>300000</v>
      </c>
      <c r="F84" s="15">
        <v>400000</v>
      </c>
      <c r="G84" s="15">
        <v>500000</v>
      </c>
      <c r="H84" s="15">
        <v>600000</v>
      </c>
      <c r="I84" s="15">
        <f t="shared" si="1"/>
        <v>2000000</v>
      </c>
      <c r="J84" s="4" t="s">
        <v>250</v>
      </c>
    </row>
    <row r="85" spans="1:10" ht="24">
      <c r="A85" s="312"/>
      <c r="B85" s="330"/>
      <c r="C85" s="13" t="s">
        <v>36</v>
      </c>
      <c r="D85" s="15">
        <f>4810888+12</f>
        <v>4810900</v>
      </c>
      <c r="E85" s="15">
        <v>6000000</v>
      </c>
      <c r="F85" s="15">
        <v>7500000</v>
      </c>
      <c r="G85" s="15">
        <v>9000000</v>
      </c>
      <c r="H85" s="15">
        <v>10500000</v>
      </c>
      <c r="I85" s="15">
        <f t="shared" si="1"/>
        <v>37810900</v>
      </c>
      <c r="J85" s="4" t="s">
        <v>250</v>
      </c>
    </row>
    <row r="86" spans="1:10" ht="24">
      <c r="A86" s="312"/>
      <c r="B86" s="330"/>
      <c r="C86" s="94" t="s">
        <v>80</v>
      </c>
      <c r="D86" s="15">
        <v>32200</v>
      </c>
      <c r="E86" s="15">
        <f>ROUND(D86*5%+D86,-2)</f>
        <v>33800</v>
      </c>
      <c r="F86" s="15">
        <f t="shared" ref="F86:H86" si="9">ROUND(E86*5%+E86,-2)</f>
        <v>35500</v>
      </c>
      <c r="G86" s="15">
        <f t="shared" si="9"/>
        <v>37300</v>
      </c>
      <c r="H86" s="15">
        <f t="shared" si="9"/>
        <v>39200</v>
      </c>
      <c r="I86" s="15">
        <f t="shared" ref="I86:I151" si="10">SUM(D86:H86)</f>
        <v>178000</v>
      </c>
      <c r="J86" s="4" t="s">
        <v>79</v>
      </c>
    </row>
    <row r="87" spans="1:10" ht="24">
      <c r="A87" s="312"/>
      <c r="B87" s="330"/>
      <c r="C87" s="93" t="s">
        <v>68</v>
      </c>
      <c r="D87" s="33">
        <v>710000</v>
      </c>
      <c r="E87" s="33">
        <v>710000</v>
      </c>
      <c r="F87" s="33">
        <v>710000</v>
      </c>
      <c r="G87" s="33">
        <v>710000</v>
      </c>
      <c r="H87" s="33">
        <v>710000</v>
      </c>
      <c r="I87" s="33">
        <f t="shared" si="10"/>
        <v>3550000</v>
      </c>
      <c r="J87" s="4" t="s">
        <v>58</v>
      </c>
    </row>
    <row r="88" spans="1:10" ht="24">
      <c r="A88" s="312"/>
      <c r="B88" s="330"/>
      <c r="C88" s="93" t="s">
        <v>325</v>
      </c>
      <c r="D88" s="33">
        <v>0</v>
      </c>
      <c r="E88" s="33">
        <v>30000</v>
      </c>
      <c r="F88" s="33">
        <v>30000</v>
      </c>
      <c r="G88" s="33">
        <v>35000</v>
      </c>
      <c r="H88" s="33">
        <v>35000</v>
      </c>
      <c r="I88" s="33">
        <f t="shared" si="10"/>
        <v>130000</v>
      </c>
      <c r="J88" s="4" t="s">
        <v>50</v>
      </c>
    </row>
    <row r="89" spans="1:10" ht="24">
      <c r="A89" s="312"/>
      <c r="B89" s="330"/>
      <c r="C89" s="93" t="s">
        <v>308</v>
      </c>
      <c r="D89" s="33">
        <v>22070000</v>
      </c>
      <c r="E89" s="33">
        <v>24277000</v>
      </c>
      <c r="F89" s="33">
        <v>26704700</v>
      </c>
      <c r="G89" s="33">
        <f>29375170+30</f>
        <v>29375200</v>
      </c>
      <c r="H89" s="33">
        <f>32312687+13</f>
        <v>32312700</v>
      </c>
      <c r="I89" s="33">
        <f t="shared" si="10"/>
        <v>134739600</v>
      </c>
      <c r="J89" s="4" t="s">
        <v>76</v>
      </c>
    </row>
    <row r="90" spans="1:10" ht="24">
      <c r="A90" s="312"/>
      <c r="B90" s="330"/>
      <c r="C90" s="27" t="s">
        <v>311</v>
      </c>
      <c r="D90" s="33">
        <v>170000</v>
      </c>
      <c r="E90" s="33">
        <v>240000</v>
      </c>
      <c r="F90" s="33">
        <v>310000</v>
      </c>
      <c r="G90" s="33">
        <v>380000</v>
      </c>
      <c r="H90" s="33">
        <v>450000</v>
      </c>
      <c r="I90" s="33">
        <f t="shared" si="10"/>
        <v>1550000</v>
      </c>
      <c r="J90" s="4" t="s">
        <v>123</v>
      </c>
    </row>
    <row r="91" spans="1:10" ht="24">
      <c r="A91" s="312"/>
      <c r="B91" s="330"/>
      <c r="C91" s="27" t="s">
        <v>311</v>
      </c>
      <c r="D91" s="33">
        <v>1890000</v>
      </c>
      <c r="E91" s="33">
        <v>1700000</v>
      </c>
      <c r="F91" s="33">
        <v>1890000</v>
      </c>
      <c r="G91" s="33">
        <v>1700000</v>
      </c>
      <c r="H91" s="33">
        <v>1890000</v>
      </c>
      <c r="I91" s="33">
        <f t="shared" si="10"/>
        <v>9070000</v>
      </c>
      <c r="J91" s="4" t="s">
        <v>21</v>
      </c>
    </row>
    <row r="92" spans="1:10" ht="24">
      <c r="A92" s="312"/>
      <c r="B92" s="330"/>
      <c r="C92" s="27" t="s">
        <v>313</v>
      </c>
      <c r="D92" s="33">
        <v>15000000</v>
      </c>
      <c r="E92" s="33">
        <v>15000000</v>
      </c>
      <c r="F92" s="33">
        <v>16000000</v>
      </c>
      <c r="G92" s="33">
        <v>16000000</v>
      </c>
      <c r="H92" s="33">
        <v>17000000</v>
      </c>
      <c r="I92" s="33">
        <f t="shared" si="10"/>
        <v>79000000</v>
      </c>
      <c r="J92" s="4" t="s">
        <v>94</v>
      </c>
    </row>
    <row r="93" spans="1:10" ht="24.75" thickBot="1">
      <c r="A93" s="338"/>
      <c r="B93" s="342"/>
      <c r="C93" s="103" t="s">
        <v>342</v>
      </c>
      <c r="D93" s="104">
        <v>155000</v>
      </c>
      <c r="E93" s="104">
        <v>250000</v>
      </c>
      <c r="F93" s="104">
        <v>300000</v>
      </c>
      <c r="G93" s="104">
        <v>350000</v>
      </c>
      <c r="H93" s="104">
        <v>400000</v>
      </c>
      <c r="I93" s="104">
        <f t="shared" si="10"/>
        <v>1455000</v>
      </c>
      <c r="J93" s="131" t="s">
        <v>14</v>
      </c>
    </row>
    <row r="94" spans="1:10" s="23" customFormat="1" ht="28.5" thickBot="1">
      <c r="A94" s="105"/>
      <c r="B94" s="106"/>
      <c r="C94" s="107" t="s">
        <v>372</v>
      </c>
      <c r="D94" s="109">
        <f>SUM(D82)</f>
        <v>46428100</v>
      </c>
      <c r="E94" s="109">
        <f t="shared" ref="E94:H94" si="11">SUM(E82)</f>
        <v>49990800</v>
      </c>
      <c r="F94" s="109">
        <f t="shared" si="11"/>
        <v>55480200</v>
      </c>
      <c r="G94" s="109">
        <f t="shared" si="11"/>
        <v>59837500</v>
      </c>
      <c r="H94" s="109">
        <f t="shared" si="11"/>
        <v>65836900</v>
      </c>
      <c r="I94" s="110">
        <f t="shared" si="10"/>
        <v>277573500</v>
      </c>
      <c r="J94" s="108"/>
    </row>
    <row r="95" spans="1:10" s="18" customFormat="1" ht="24" customHeight="1">
      <c r="A95" s="343" t="s">
        <v>170</v>
      </c>
      <c r="B95" s="341" t="s">
        <v>271</v>
      </c>
      <c r="C95" s="128"/>
      <c r="D95" s="130">
        <f>SUM(D96:D107)</f>
        <v>6253600</v>
      </c>
      <c r="E95" s="130">
        <f>SUM(E96:E107)</f>
        <v>6688900</v>
      </c>
      <c r="F95" s="130">
        <f>SUM(F96:F107)</f>
        <v>6985300</v>
      </c>
      <c r="G95" s="130">
        <f>SUM(G96:G107)</f>
        <v>7285199.5</v>
      </c>
      <c r="H95" s="130">
        <f>SUM(H96:H107)</f>
        <v>7630900</v>
      </c>
      <c r="I95" s="130">
        <f t="shared" si="10"/>
        <v>34843899.5</v>
      </c>
      <c r="J95" s="129"/>
    </row>
    <row r="96" spans="1:10" ht="24">
      <c r="A96" s="344"/>
      <c r="B96" s="330"/>
      <c r="C96" s="13" t="s">
        <v>37</v>
      </c>
      <c r="D96" s="15">
        <v>200000</v>
      </c>
      <c r="E96" s="15">
        <v>250000</v>
      </c>
      <c r="F96" s="15">
        <v>300000</v>
      </c>
      <c r="G96" s="15">
        <v>350000</v>
      </c>
      <c r="H96" s="15">
        <v>400000</v>
      </c>
      <c r="I96" s="15">
        <f t="shared" si="10"/>
        <v>1500000</v>
      </c>
      <c r="J96" s="4" t="s">
        <v>250</v>
      </c>
    </row>
    <row r="97" spans="1:10" ht="24">
      <c r="A97" s="344"/>
      <c r="B97" s="330"/>
      <c r="C97" s="37" t="s">
        <v>81</v>
      </c>
      <c r="D97" s="15">
        <v>81600</v>
      </c>
      <c r="E97" s="15">
        <f>ROUND(D97*5%+D97,-2)</f>
        <v>85700</v>
      </c>
      <c r="F97" s="15">
        <f t="shared" ref="F97:H97" si="12">ROUND(E97*5%+E97,-2)</f>
        <v>90000</v>
      </c>
      <c r="G97" s="15">
        <f t="shared" si="12"/>
        <v>94500</v>
      </c>
      <c r="H97" s="15">
        <f t="shared" si="12"/>
        <v>99200</v>
      </c>
      <c r="I97" s="15">
        <f t="shared" si="10"/>
        <v>451000</v>
      </c>
      <c r="J97" s="4" t="s">
        <v>79</v>
      </c>
    </row>
    <row r="98" spans="1:10" ht="24">
      <c r="A98" s="344"/>
      <c r="B98" s="330"/>
      <c r="C98" s="29" t="s">
        <v>135</v>
      </c>
      <c r="D98" s="15">
        <v>50000</v>
      </c>
      <c r="E98" s="15">
        <v>50000</v>
      </c>
      <c r="F98" s="15">
        <v>50000</v>
      </c>
      <c r="G98" s="15">
        <v>50000</v>
      </c>
      <c r="H98" s="15">
        <v>50000</v>
      </c>
      <c r="I98" s="15">
        <f t="shared" si="10"/>
        <v>250000</v>
      </c>
      <c r="J98" s="4" t="s">
        <v>110</v>
      </c>
    </row>
    <row r="99" spans="1:10" ht="24">
      <c r="A99" s="344"/>
      <c r="B99" s="330"/>
      <c r="C99" s="29" t="s">
        <v>186</v>
      </c>
      <c r="D99" s="15">
        <v>100000</v>
      </c>
      <c r="E99" s="15">
        <v>100000</v>
      </c>
      <c r="F99" s="15">
        <v>100000</v>
      </c>
      <c r="G99" s="15">
        <v>100000</v>
      </c>
      <c r="H99" s="15">
        <v>100000</v>
      </c>
      <c r="I99" s="15">
        <f t="shared" si="10"/>
        <v>500000</v>
      </c>
      <c r="J99" s="4" t="s">
        <v>110</v>
      </c>
    </row>
    <row r="100" spans="1:10" ht="24">
      <c r="A100" s="344"/>
      <c r="B100" s="330"/>
      <c r="C100" s="29" t="s">
        <v>136</v>
      </c>
      <c r="D100" s="15">
        <v>440000</v>
      </c>
      <c r="E100" s="15">
        <v>500000</v>
      </c>
      <c r="F100" s="15">
        <v>500000</v>
      </c>
      <c r="G100" s="15">
        <v>500000</v>
      </c>
      <c r="H100" s="15">
        <v>500000</v>
      </c>
      <c r="I100" s="15">
        <f t="shared" si="10"/>
        <v>2440000</v>
      </c>
      <c r="J100" s="4" t="s">
        <v>110</v>
      </c>
    </row>
    <row r="101" spans="1:10" ht="24">
      <c r="A101" s="344"/>
      <c r="B101" s="330"/>
      <c r="C101" s="29" t="s">
        <v>137</v>
      </c>
      <c r="D101" s="15">
        <v>80000</v>
      </c>
      <c r="E101" s="15">
        <v>200000</v>
      </c>
      <c r="F101" s="15">
        <v>200000</v>
      </c>
      <c r="G101" s="15">
        <v>200000</v>
      </c>
      <c r="H101" s="15">
        <v>200000</v>
      </c>
      <c r="I101" s="15">
        <f t="shared" si="10"/>
        <v>880000</v>
      </c>
      <c r="J101" s="4" t="s">
        <v>110</v>
      </c>
    </row>
    <row r="102" spans="1:10" ht="24">
      <c r="A102" s="344"/>
      <c r="B102" s="330"/>
      <c r="C102" s="29" t="s">
        <v>138</v>
      </c>
      <c r="D102" s="15">
        <v>50000</v>
      </c>
      <c r="E102" s="15">
        <v>50000</v>
      </c>
      <c r="F102" s="15">
        <v>50000</v>
      </c>
      <c r="G102" s="15">
        <v>50000</v>
      </c>
      <c r="H102" s="15">
        <v>50000</v>
      </c>
      <c r="I102" s="15">
        <f t="shared" si="10"/>
        <v>250000</v>
      </c>
      <c r="J102" s="4" t="s">
        <v>110</v>
      </c>
    </row>
    <row r="103" spans="1:10" ht="24">
      <c r="A103" s="344"/>
      <c r="B103" s="330"/>
      <c r="C103" s="29" t="s">
        <v>139</v>
      </c>
      <c r="D103" s="15">
        <v>647500</v>
      </c>
      <c r="E103" s="15">
        <v>712300</v>
      </c>
      <c r="F103" s="15">
        <v>783500</v>
      </c>
      <c r="G103" s="15">
        <v>861800</v>
      </c>
      <c r="H103" s="15">
        <v>948000</v>
      </c>
      <c r="I103" s="15">
        <f t="shared" si="10"/>
        <v>3953100</v>
      </c>
      <c r="J103" s="4" t="s">
        <v>110</v>
      </c>
    </row>
    <row r="104" spans="1:10" ht="24">
      <c r="A104" s="344"/>
      <c r="B104" s="330"/>
      <c r="C104" s="93" t="s">
        <v>69</v>
      </c>
      <c r="D104" s="33">
        <v>60000</v>
      </c>
      <c r="E104" s="33">
        <v>60000</v>
      </c>
      <c r="F104" s="33">
        <v>60000</v>
      </c>
      <c r="G104" s="33">
        <v>60000</v>
      </c>
      <c r="H104" s="33">
        <v>60000</v>
      </c>
      <c r="I104" s="33">
        <f t="shared" si="10"/>
        <v>300000</v>
      </c>
      <c r="J104" s="4" t="s">
        <v>58</v>
      </c>
    </row>
    <row r="105" spans="1:10" ht="24">
      <c r="A105" s="344"/>
      <c r="B105" s="330"/>
      <c r="C105" s="93" t="s">
        <v>309</v>
      </c>
      <c r="D105" s="33">
        <v>1463500</v>
      </c>
      <c r="E105" s="33">
        <f>1609850+50</f>
        <v>1609900</v>
      </c>
      <c r="F105" s="33">
        <f>1770835-35</f>
        <v>1770800</v>
      </c>
      <c r="G105" s="33">
        <f>1947918.5-19</f>
        <v>1947899.5</v>
      </c>
      <c r="H105" s="33">
        <f>2142710.35-10.35</f>
        <v>2142700</v>
      </c>
      <c r="I105" s="33">
        <f t="shared" si="10"/>
        <v>8934799.5</v>
      </c>
      <c r="J105" s="4" t="s">
        <v>76</v>
      </c>
    </row>
    <row r="106" spans="1:10" ht="48">
      <c r="A106" s="344"/>
      <c r="B106" s="330"/>
      <c r="C106" s="93" t="s">
        <v>84</v>
      </c>
      <c r="D106" s="33">
        <v>700000</v>
      </c>
      <c r="E106" s="33">
        <v>700000</v>
      </c>
      <c r="F106" s="33">
        <v>700000</v>
      </c>
      <c r="G106" s="33">
        <v>700000</v>
      </c>
      <c r="H106" s="33">
        <v>700000</v>
      </c>
      <c r="I106" s="33">
        <f t="shared" si="10"/>
        <v>3500000</v>
      </c>
      <c r="J106" s="4" t="s">
        <v>123</v>
      </c>
    </row>
    <row r="107" spans="1:10" ht="48">
      <c r="A107" s="344"/>
      <c r="B107" s="330"/>
      <c r="C107" s="93" t="s">
        <v>327</v>
      </c>
      <c r="D107" s="33">
        <v>2381000</v>
      </c>
      <c r="E107" s="33">
        <v>2371000</v>
      </c>
      <c r="F107" s="33">
        <v>2381000</v>
      </c>
      <c r="G107" s="33">
        <v>2371000</v>
      </c>
      <c r="H107" s="33">
        <v>2381000</v>
      </c>
      <c r="I107" s="33">
        <f t="shared" si="10"/>
        <v>11885000</v>
      </c>
      <c r="J107" s="4" t="s">
        <v>21</v>
      </c>
    </row>
    <row r="108" spans="1:10" ht="24">
      <c r="A108" s="344"/>
      <c r="B108" s="335"/>
      <c r="C108" s="133" t="s">
        <v>343</v>
      </c>
      <c r="D108" s="124">
        <v>138000</v>
      </c>
      <c r="E108" s="124">
        <v>150000</v>
      </c>
      <c r="F108" s="124">
        <v>200000</v>
      </c>
      <c r="G108" s="124">
        <v>220000</v>
      </c>
      <c r="H108" s="124">
        <v>250000</v>
      </c>
      <c r="I108" s="124">
        <f t="shared" si="10"/>
        <v>958000</v>
      </c>
      <c r="J108" s="101" t="s">
        <v>14</v>
      </c>
    </row>
    <row r="109" spans="1:10" s="18" customFormat="1" ht="24">
      <c r="A109" s="344"/>
      <c r="B109" s="329" t="s">
        <v>272</v>
      </c>
      <c r="C109" s="95"/>
      <c r="D109" s="96">
        <f>SUM(D110:D116)</f>
        <v>7251800</v>
      </c>
      <c r="E109" s="96">
        <f t="shared" ref="E109:H109" si="13">SUM(E110:E116)</f>
        <v>15941200</v>
      </c>
      <c r="F109" s="96">
        <f t="shared" si="13"/>
        <v>17229400</v>
      </c>
      <c r="G109" s="96">
        <f t="shared" si="13"/>
        <v>18626300</v>
      </c>
      <c r="H109" s="96">
        <f t="shared" si="13"/>
        <v>20142900</v>
      </c>
      <c r="I109" s="96">
        <f t="shared" si="10"/>
        <v>79191600</v>
      </c>
      <c r="J109" s="26"/>
    </row>
    <row r="110" spans="1:10" ht="24">
      <c r="A110" s="344"/>
      <c r="B110" s="330"/>
      <c r="C110" s="29" t="s">
        <v>281</v>
      </c>
      <c r="D110" s="15">
        <v>906000</v>
      </c>
      <c r="E110" s="15">
        <v>1000000</v>
      </c>
      <c r="F110" s="15">
        <v>1100000</v>
      </c>
      <c r="G110" s="15">
        <v>1200000</v>
      </c>
      <c r="H110" s="15">
        <v>1300000</v>
      </c>
      <c r="I110" s="15">
        <f t="shared" si="10"/>
        <v>5506000</v>
      </c>
      <c r="J110" s="4" t="s">
        <v>56</v>
      </c>
    </row>
    <row r="111" spans="1:10" ht="24">
      <c r="A111" s="344"/>
      <c r="B111" s="330"/>
      <c r="C111" s="36" t="s">
        <v>140</v>
      </c>
      <c r="D111" s="15">
        <v>2455800</v>
      </c>
      <c r="E111" s="15">
        <v>10881200</v>
      </c>
      <c r="F111" s="15">
        <v>11969400</v>
      </c>
      <c r="G111" s="15">
        <v>13166300</v>
      </c>
      <c r="H111" s="15">
        <v>14482900</v>
      </c>
      <c r="I111" s="15">
        <f t="shared" si="10"/>
        <v>52955600</v>
      </c>
      <c r="J111" s="4" t="s">
        <v>110</v>
      </c>
    </row>
    <row r="112" spans="1:10" ht="24">
      <c r="A112" s="344"/>
      <c r="B112" s="330"/>
      <c r="C112" s="93" t="s">
        <v>69</v>
      </c>
      <c r="D112" s="33">
        <v>60000</v>
      </c>
      <c r="E112" s="33">
        <v>60000</v>
      </c>
      <c r="F112" s="33">
        <v>60000</v>
      </c>
      <c r="G112" s="33">
        <v>60000</v>
      </c>
      <c r="H112" s="33">
        <v>60000</v>
      </c>
      <c r="I112" s="33">
        <f t="shared" si="10"/>
        <v>300000</v>
      </c>
      <c r="J112" s="4" t="s">
        <v>58</v>
      </c>
    </row>
    <row r="113" spans="1:10" ht="24">
      <c r="A113" s="344"/>
      <c r="B113" s="330"/>
      <c r="C113" s="93" t="s">
        <v>53</v>
      </c>
      <c r="D113" s="33">
        <v>30000</v>
      </c>
      <c r="E113" s="33">
        <v>150000</v>
      </c>
      <c r="F113" s="33">
        <v>200000</v>
      </c>
      <c r="G113" s="33">
        <v>250000</v>
      </c>
      <c r="H113" s="33">
        <v>300000</v>
      </c>
      <c r="I113" s="33">
        <f t="shared" si="10"/>
        <v>930000</v>
      </c>
      <c r="J113" s="4" t="s">
        <v>50</v>
      </c>
    </row>
    <row r="114" spans="1:10" ht="72">
      <c r="A114" s="344"/>
      <c r="B114" s="330"/>
      <c r="C114" s="36" t="s">
        <v>85</v>
      </c>
      <c r="D114" s="33">
        <v>300000</v>
      </c>
      <c r="E114" s="33">
        <v>300000</v>
      </c>
      <c r="F114" s="33">
        <v>300000</v>
      </c>
      <c r="G114" s="33">
        <v>300000</v>
      </c>
      <c r="H114" s="33">
        <v>300000</v>
      </c>
      <c r="I114" s="33">
        <f t="shared" si="10"/>
        <v>1500000</v>
      </c>
      <c r="J114" s="4" t="s">
        <v>123</v>
      </c>
    </row>
    <row r="115" spans="1:10" ht="24">
      <c r="A115" s="344"/>
      <c r="B115" s="330"/>
      <c r="C115" s="94" t="s">
        <v>314</v>
      </c>
      <c r="D115" s="33">
        <v>2000000</v>
      </c>
      <c r="E115" s="33">
        <v>2000000</v>
      </c>
      <c r="F115" s="33">
        <v>2000000</v>
      </c>
      <c r="G115" s="33">
        <v>2000000</v>
      </c>
      <c r="H115" s="33">
        <v>2000000</v>
      </c>
      <c r="I115" s="33">
        <f t="shared" si="10"/>
        <v>10000000</v>
      </c>
      <c r="J115" s="4" t="s">
        <v>21</v>
      </c>
    </row>
    <row r="116" spans="1:10" ht="24">
      <c r="A116" s="344"/>
      <c r="B116" s="335"/>
      <c r="C116" s="132" t="s">
        <v>314</v>
      </c>
      <c r="D116" s="124">
        <v>1500000</v>
      </c>
      <c r="E116" s="124">
        <v>1550000</v>
      </c>
      <c r="F116" s="124">
        <v>1600000</v>
      </c>
      <c r="G116" s="124">
        <v>1650000</v>
      </c>
      <c r="H116" s="124">
        <v>1700000</v>
      </c>
      <c r="I116" s="124">
        <f t="shared" si="10"/>
        <v>8000000</v>
      </c>
      <c r="J116" s="101" t="s">
        <v>94</v>
      </c>
    </row>
    <row r="117" spans="1:10" s="18" customFormat="1" ht="24">
      <c r="A117" s="344"/>
      <c r="B117" s="346" t="s">
        <v>273</v>
      </c>
      <c r="C117" s="95"/>
      <c r="D117" s="96">
        <f>SUM(D118:D121)</f>
        <v>5728000</v>
      </c>
      <c r="E117" s="96">
        <f t="shared" ref="E117:H117" si="14">SUM(E118:E121)</f>
        <v>5850000</v>
      </c>
      <c r="F117" s="96">
        <f t="shared" si="14"/>
        <v>6000000</v>
      </c>
      <c r="G117" s="96">
        <f t="shared" si="14"/>
        <v>6150000</v>
      </c>
      <c r="H117" s="96">
        <f t="shared" si="14"/>
        <v>6300000</v>
      </c>
      <c r="I117" s="96">
        <f t="shared" si="10"/>
        <v>30028000</v>
      </c>
      <c r="J117" s="26"/>
    </row>
    <row r="118" spans="1:10" ht="24">
      <c r="A118" s="344"/>
      <c r="B118" s="330"/>
      <c r="C118" s="29" t="s">
        <v>282</v>
      </c>
      <c r="D118" s="15">
        <f>282150+50</f>
        <v>282200</v>
      </c>
      <c r="E118" s="15">
        <v>300000</v>
      </c>
      <c r="F118" s="15">
        <v>400000</v>
      </c>
      <c r="G118" s="15">
        <v>500000</v>
      </c>
      <c r="H118" s="15">
        <v>600000</v>
      </c>
      <c r="I118" s="15">
        <f t="shared" si="10"/>
        <v>2082200</v>
      </c>
      <c r="J118" s="4" t="s">
        <v>56</v>
      </c>
    </row>
    <row r="119" spans="1:10" ht="24">
      <c r="A119" s="344"/>
      <c r="B119" s="330"/>
      <c r="C119" s="29" t="s">
        <v>141</v>
      </c>
      <c r="D119" s="15">
        <v>945800</v>
      </c>
      <c r="E119" s="15">
        <v>1000000</v>
      </c>
      <c r="F119" s="15">
        <v>1000000</v>
      </c>
      <c r="G119" s="15">
        <v>1000000</v>
      </c>
      <c r="H119" s="15">
        <v>1000000</v>
      </c>
      <c r="I119" s="15">
        <f t="shared" si="10"/>
        <v>4945800</v>
      </c>
      <c r="J119" s="4" t="s">
        <v>110</v>
      </c>
    </row>
    <row r="120" spans="1:10" ht="24">
      <c r="A120" s="344"/>
      <c r="B120" s="330"/>
      <c r="C120" s="29" t="s">
        <v>141</v>
      </c>
      <c r="D120" s="15">
        <v>3000000</v>
      </c>
      <c r="E120" s="15">
        <v>3000000</v>
      </c>
      <c r="F120" s="15">
        <v>3000000</v>
      </c>
      <c r="G120" s="15">
        <v>3000000</v>
      </c>
      <c r="H120" s="15">
        <v>3000000</v>
      </c>
      <c r="I120" s="15">
        <f t="shared" si="10"/>
        <v>15000000</v>
      </c>
      <c r="J120" s="4" t="s">
        <v>21</v>
      </c>
    </row>
    <row r="121" spans="1:10" ht="24">
      <c r="A121" s="344"/>
      <c r="B121" s="330"/>
      <c r="C121" s="43" t="s">
        <v>141</v>
      </c>
      <c r="D121" s="33">
        <v>1500000</v>
      </c>
      <c r="E121" s="33">
        <v>1550000</v>
      </c>
      <c r="F121" s="33">
        <v>1600000</v>
      </c>
      <c r="G121" s="33">
        <v>1650000</v>
      </c>
      <c r="H121" s="33">
        <v>1700000</v>
      </c>
      <c r="I121" s="33">
        <f t="shared" si="10"/>
        <v>8000000</v>
      </c>
      <c r="J121" s="4" t="s">
        <v>94</v>
      </c>
    </row>
    <row r="122" spans="1:10" ht="24.75" thickBot="1">
      <c r="A122" s="345"/>
      <c r="B122" s="342"/>
      <c r="C122" s="94" t="s">
        <v>383</v>
      </c>
      <c r="D122" s="157">
        <v>9500</v>
      </c>
      <c r="E122" s="157">
        <v>9500</v>
      </c>
      <c r="F122" s="157">
        <v>9500</v>
      </c>
      <c r="G122" s="157">
        <v>9500</v>
      </c>
      <c r="H122" s="157">
        <v>9500</v>
      </c>
      <c r="I122" s="158"/>
      <c r="J122" s="156" t="s">
        <v>381</v>
      </c>
    </row>
    <row r="123" spans="1:10" s="23" customFormat="1" ht="28.5" thickBot="1">
      <c r="A123" s="105"/>
      <c r="B123" s="106"/>
      <c r="C123" s="107" t="s">
        <v>373</v>
      </c>
      <c r="D123" s="109">
        <f>SUM(D117,D109,D95)</f>
        <v>19233400</v>
      </c>
      <c r="E123" s="109">
        <f>SUM(E117,E109,E95)</f>
        <v>28480100</v>
      </c>
      <c r="F123" s="109">
        <f>SUM(F117,F109,F95)</f>
        <v>30214700</v>
      </c>
      <c r="G123" s="109">
        <f>SUM(G117,G109,G95)</f>
        <v>32061499.5</v>
      </c>
      <c r="H123" s="109">
        <f>SUM(H117,H109,H95)</f>
        <v>34073800</v>
      </c>
      <c r="I123" s="110">
        <f t="shared" ref="I123" si="15">SUM(D123:H123)</f>
        <v>144063499.5</v>
      </c>
      <c r="J123" s="108"/>
    </row>
    <row r="124" spans="1:10" s="18" customFormat="1" ht="24" customHeight="1">
      <c r="A124" s="328" t="s">
        <v>171</v>
      </c>
      <c r="B124" s="337" t="s">
        <v>274</v>
      </c>
      <c r="C124" s="49"/>
      <c r="D124" s="16">
        <f>SUM(D125:D137)</f>
        <v>9913000</v>
      </c>
      <c r="E124" s="16">
        <f>SUM(E125:E137)</f>
        <v>10970300</v>
      </c>
      <c r="F124" s="16">
        <f>SUM(F125:F137)</f>
        <v>11900000</v>
      </c>
      <c r="G124" s="16">
        <f>SUM(G125:G137)</f>
        <v>12942000</v>
      </c>
      <c r="H124" s="16">
        <f>SUM(H125:H137)</f>
        <v>14012100</v>
      </c>
      <c r="I124" s="16">
        <f t="shared" si="10"/>
        <v>59737400</v>
      </c>
      <c r="J124" s="20"/>
    </row>
    <row r="125" spans="1:10" ht="24">
      <c r="A125" s="312"/>
      <c r="B125" s="330"/>
      <c r="C125" s="29" t="s">
        <v>142</v>
      </c>
      <c r="D125" s="15">
        <f>993150+50</f>
        <v>993200</v>
      </c>
      <c r="E125" s="15">
        <v>1100000</v>
      </c>
      <c r="F125" s="15">
        <v>1200000</v>
      </c>
      <c r="G125" s="15">
        <v>1300000</v>
      </c>
      <c r="H125" s="15">
        <v>1400000</v>
      </c>
      <c r="I125" s="15">
        <f t="shared" si="10"/>
        <v>5993200</v>
      </c>
      <c r="J125" s="4" t="s">
        <v>56</v>
      </c>
    </row>
    <row r="126" spans="1:10" ht="48">
      <c r="A126" s="312"/>
      <c r="B126" s="330"/>
      <c r="C126" s="29" t="s">
        <v>38</v>
      </c>
      <c r="D126" s="15">
        <v>100000</v>
      </c>
      <c r="E126" s="15">
        <v>150000</v>
      </c>
      <c r="F126" s="15">
        <v>200000</v>
      </c>
      <c r="G126" s="15">
        <v>250000</v>
      </c>
      <c r="H126" s="15">
        <v>300000</v>
      </c>
      <c r="I126" s="15">
        <f t="shared" si="10"/>
        <v>1000000</v>
      </c>
      <c r="J126" s="4" t="s">
        <v>250</v>
      </c>
    </row>
    <row r="127" spans="1:10" ht="24">
      <c r="A127" s="312"/>
      <c r="B127" s="330"/>
      <c r="C127" s="29" t="s">
        <v>82</v>
      </c>
      <c r="D127" s="15">
        <v>95000</v>
      </c>
      <c r="E127" s="15">
        <f>ROUND(D127*5%+D127,-2)</f>
        <v>99800</v>
      </c>
      <c r="F127" s="15">
        <f t="shared" ref="F127:H127" si="16">ROUND(E127*5%+E127,-2)</f>
        <v>104800</v>
      </c>
      <c r="G127" s="15">
        <f t="shared" si="16"/>
        <v>110000</v>
      </c>
      <c r="H127" s="15">
        <f t="shared" si="16"/>
        <v>115500</v>
      </c>
      <c r="I127" s="112">
        <f t="shared" si="10"/>
        <v>525100</v>
      </c>
      <c r="J127" s="4" t="s">
        <v>79</v>
      </c>
    </row>
    <row r="128" spans="1:10" ht="72">
      <c r="A128" s="312"/>
      <c r="B128" s="330"/>
      <c r="C128" s="29" t="s">
        <v>144</v>
      </c>
      <c r="D128" s="15">
        <v>2572500</v>
      </c>
      <c r="E128" s="15">
        <v>2829800</v>
      </c>
      <c r="F128" s="15">
        <v>3112700</v>
      </c>
      <c r="G128" s="15">
        <v>3424000</v>
      </c>
      <c r="H128" s="15">
        <v>3766400</v>
      </c>
      <c r="I128" s="15">
        <f t="shared" si="10"/>
        <v>15705400</v>
      </c>
      <c r="J128" s="4" t="s">
        <v>110</v>
      </c>
    </row>
    <row r="129" spans="1:10" ht="24">
      <c r="A129" s="312"/>
      <c r="B129" s="330"/>
      <c r="C129" s="36" t="s">
        <v>145</v>
      </c>
      <c r="D129" s="15">
        <v>100000</v>
      </c>
      <c r="E129" s="15">
        <v>100000</v>
      </c>
      <c r="F129" s="15">
        <v>100000</v>
      </c>
      <c r="G129" s="15">
        <v>100000</v>
      </c>
      <c r="H129" s="15">
        <v>100000</v>
      </c>
      <c r="I129" s="15">
        <f t="shared" si="10"/>
        <v>500000</v>
      </c>
      <c r="J129" s="4" t="s">
        <v>110</v>
      </c>
    </row>
    <row r="130" spans="1:10" ht="48">
      <c r="A130" s="312"/>
      <c r="B130" s="330"/>
      <c r="C130" s="93" t="s">
        <v>70</v>
      </c>
      <c r="D130" s="33">
        <v>10000</v>
      </c>
      <c r="E130" s="33">
        <v>10000</v>
      </c>
      <c r="F130" s="33">
        <v>10000</v>
      </c>
      <c r="G130" s="33">
        <v>10000</v>
      </c>
      <c r="H130" s="33">
        <v>10000</v>
      </c>
      <c r="I130" s="33">
        <f t="shared" si="10"/>
        <v>50000</v>
      </c>
      <c r="J130" s="4" t="s">
        <v>58</v>
      </c>
    </row>
    <row r="131" spans="1:10" ht="48">
      <c r="A131" s="312"/>
      <c r="B131" s="330"/>
      <c r="C131" s="93" t="s">
        <v>292</v>
      </c>
      <c r="D131" s="33">
        <v>167600</v>
      </c>
      <c r="E131" s="33">
        <v>360000</v>
      </c>
      <c r="F131" s="33">
        <v>390000</v>
      </c>
      <c r="G131" s="33">
        <v>420000</v>
      </c>
      <c r="H131" s="33">
        <v>460000</v>
      </c>
      <c r="I131" s="33">
        <f t="shared" si="10"/>
        <v>1797600</v>
      </c>
      <c r="J131" s="4" t="s">
        <v>50</v>
      </c>
    </row>
    <row r="132" spans="1:10" ht="48">
      <c r="A132" s="312"/>
      <c r="B132" s="330"/>
      <c r="C132" s="93" t="s">
        <v>54</v>
      </c>
      <c r="D132" s="33">
        <v>85000</v>
      </c>
      <c r="E132" s="33">
        <v>100000</v>
      </c>
      <c r="F132" s="33">
        <v>100000</v>
      </c>
      <c r="G132" s="33">
        <v>150000</v>
      </c>
      <c r="H132" s="33">
        <v>150000</v>
      </c>
      <c r="I132" s="33">
        <f t="shared" si="10"/>
        <v>585000</v>
      </c>
      <c r="J132" s="4" t="s">
        <v>50</v>
      </c>
    </row>
    <row r="133" spans="1:10" ht="24">
      <c r="A133" s="312"/>
      <c r="B133" s="330"/>
      <c r="C133" s="93" t="s">
        <v>77</v>
      </c>
      <c r="D133" s="33">
        <f>2830360+40</f>
        <v>2830400</v>
      </c>
      <c r="E133" s="33">
        <f>3113396+4</f>
        <v>3113400</v>
      </c>
      <c r="F133" s="33">
        <f>3424735.6-35.6</f>
        <v>3424700</v>
      </c>
      <c r="G133" s="33">
        <f>3767209.16-9.16</f>
        <v>3767200</v>
      </c>
      <c r="H133" s="33">
        <f>4143930.076-30.076</f>
        <v>4143900</v>
      </c>
      <c r="I133" s="33">
        <f t="shared" si="10"/>
        <v>17279600</v>
      </c>
      <c r="J133" s="4" t="s">
        <v>76</v>
      </c>
    </row>
    <row r="134" spans="1:10" ht="24">
      <c r="A134" s="312"/>
      <c r="B134" s="330"/>
      <c r="C134" s="93" t="s">
        <v>143</v>
      </c>
      <c r="D134" s="33">
        <v>2000000</v>
      </c>
      <c r="E134" s="33">
        <v>2100000</v>
      </c>
      <c r="F134" s="33">
        <v>2200000</v>
      </c>
      <c r="G134" s="33">
        <v>2300000</v>
      </c>
      <c r="H134" s="33">
        <v>2400000</v>
      </c>
      <c r="I134" s="33">
        <f t="shared" si="10"/>
        <v>11000000</v>
      </c>
      <c r="J134" s="4" t="s">
        <v>94</v>
      </c>
    </row>
    <row r="135" spans="1:10" ht="24">
      <c r="A135" s="312"/>
      <c r="B135" s="330"/>
      <c r="C135" s="27" t="s">
        <v>106</v>
      </c>
      <c r="D135" s="15">
        <v>42000</v>
      </c>
      <c r="E135" s="15">
        <f t="shared" ref="E135:H136" si="17">5/100*D135+D135</f>
        <v>44100</v>
      </c>
      <c r="F135" s="15">
        <v>46400</v>
      </c>
      <c r="G135" s="15">
        <v>48800</v>
      </c>
      <c r="H135" s="15">
        <f>51156+44</f>
        <v>51200</v>
      </c>
      <c r="I135" s="15">
        <f t="shared" si="10"/>
        <v>232500</v>
      </c>
      <c r="J135" s="4" t="s">
        <v>97</v>
      </c>
    </row>
    <row r="136" spans="1:10" ht="24">
      <c r="A136" s="312"/>
      <c r="B136" s="330"/>
      <c r="C136" s="27" t="s">
        <v>107</v>
      </c>
      <c r="D136" s="15">
        <v>917300</v>
      </c>
      <c r="E136" s="15">
        <v>963200</v>
      </c>
      <c r="F136" s="15">
        <v>1011400</v>
      </c>
      <c r="G136" s="15">
        <v>1062000</v>
      </c>
      <c r="H136" s="15">
        <f t="shared" si="17"/>
        <v>1115100</v>
      </c>
      <c r="I136" s="15">
        <f t="shared" si="10"/>
        <v>5069000</v>
      </c>
      <c r="J136" s="4" t="s">
        <v>97</v>
      </c>
    </row>
    <row r="137" spans="1:10" ht="24">
      <c r="A137" s="312"/>
      <c r="B137" s="330"/>
      <c r="C137" s="27"/>
      <c r="D137" s="15"/>
      <c r="E137" s="15"/>
      <c r="F137" s="15"/>
      <c r="G137" s="15"/>
      <c r="H137" s="15"/>
      <c r="I137" s="15">
        <f t="shared" si="10"/>
        <v>0</v>
      </c>
      <c r="J137" s="4"/>
    </row>
    <row r="138" spans="1:10" ht="48">
      <c r="A138" s="312"/>
      <c r="B138" s="330"/>
      <c r="C138" s="153" t="s">
        <v>326</v>
      </c>
      <c r="D138" s="159">
        <f>E138*0.9</f>
        <v>2555910</v>
      </c>
      <c r="E138" s="159">
        <v>2839900</v>
      </c>
      <c r="F138" s="159">
        <f>E138*0.1+E138</f>
        <v>3123890</v>
      </c>
      <c r="G138" s="159">
        <f t="shared" ref="G138:H138" si="18">F138*0.1+F138</f>
        <v>3436279</v>
      </c>
      <c r="H138" s="159">
        <f t="shared" si="18"/>
        <v>3779906.9</v>
      </c>
      <c r="I138" s="159"/>
      <c r="J138" s="17" t="s">
        <v>381</v>
      </c>
    </row>
    <row r="139" spans="1:10" ht="24">
      <c r="A139" s="312"/>
      <c r="B139" s="335"/>
      <c r="C139" s="14" t="s">
        <v>82</v>
      </c>
      <c r="D139" s="134">
        <v>286300</v>
      </c>
      <c r="E139" s="134">
        <v>300000</v>
      </c>
      <c r="F139" s="134">
        <v>350000</v>
      </c>
      <c r="G139" s="134">
        <v>450000</v>
      </c>
      <c r="H139" s="134">
        <v>500000</v>
      </c>
      <c r="I139" s="134">
        <f t="shared" si="10"/>
        <v>1886300</v>
      </c>
      <c r="J139" s="101" t="s">
        <v>14</v>
      </c>
    </row>
    <row r="140" spans="1:10" s="18" customFormat="1" ht="24">
      <c r="A140" s="312"/>
      <c r="B140" s="329" t="s">
        <v>275</v>
      </c>
      <c r="C140" s="95"/>
      <c r="D140" s="96">
        <f>SUM(D141:D146)</f>
        <v>2125900</v>
      </c>
      <c r="E140" s="96">
        <f>SUM(E141:E146)</f>
        <v>2238900</v>
      </c>
      <c r="F140" s="96">
        <f>SUM(F141:F146)</f>
        <v>2468900</v>
      </c>
      <c r="G140" s="96">
        <f>SUM(G141:G146)</f>
        <v>2573900</v>
      </c>
      <c r="H140" s="96">
        <f>SUM(H141:H146)</f>
        <v>2673900</v>
      </c>
      <c r="I140" s="96">
        <f t="shared" si="10"/>
        <v>12081500</v>
      </c>
      <c r="J140" s="26"/>
    </row>
    <row r="141" spans="1:10" ht="72">
      <c r="A141" s="312"/>
      <c r="B141" s="330"/>
      <c r="C141" s="29" t="s">
        <v>31</v>
      </c>
      <c r="D141" s="15">
        <v>160000</v>
      </c>
      <c r="E141" s="15">
        <v>250000</v>
      </c>
      <c r="F141" s="15">
        <v>300000</v>
      </c>
      <c r="G141" s="15">
        <v>400000</v>
      </c>
      <c r="H141" s="15">
        <v>500000</v>
      </c>
      <c r="I141" s="15">
        <f t="shared" si="10"/>
        <v>1610000</v>
      </c>
      <c r="J141" s="4" t="s">
        <v>250</v>
      </c>
    </row>
    <row r="142" spans="1:10" ht="48">
      <c r="A142" s="312"/>
      <c r="B142" s="330"/>
      <c r="C142" s="36" t="s">
        <v>146</v>
      </c>
      <c r="D142" s="15">
        <v>200000</v>
      </c>
      <c r="E142" s="15">
        <v>220000</v>
      </c>
      <c r="F142" s="15">
        <v>400000</v>
      </c>
      <c r="G142" s="15">
        <v>400000</v>
      </c>
      <c r="H142" s="15">
        <v>400000</v>
      </c>
      <c r="I142" s="15">
        <f t="shared" si="10"/>
        <v>1620000</v>
      </c>
      <c r="J142" s="4" t="s">
        <v>110</v>
      </c>
    </row>
    <row r="143" spans="1:10" ht="72">
      <c r="A143" s="312"/>
      <c r="B143" s="330"/>
      <c r="C143" s="93" t="s">
        <v>71</v>
      </c>
      <c r="D143" s="33">
        <f>1343932.25-32.25</f>
        <v>1343900</v>
      </c>
      <c r="E143" s="33">
        <f>1343932.25-32.25</f>
        <v>1343900</v>
      </c>
      <c r="F143" s="33">
        <f t="shared" ref="F143:H143" si="19">1343932.25-32.25</f>
        <v>1343900</v>
      </c>
      <c r="G143" s="33">
        <f t="shared" si="19"/>
        <v>1343900</v>
      </c>
      <c r="H143" s="33">
        <f t="shared" si="19"/>
        <v>1343900</v>
      </c>
      <c r="I143" s="33">
        <f t="shared" si="10"/>
        <v>6719500</v>
      </c>
      <c r="J143" s="4" t="s">
        <v>58</v>
      </c>
    </row>
    <row r="144" spans="1:10" ht="24">
      <c r="A144" s="312"/>
      <c r="B144" s="330"/>
      <c r="C144" s="93" t="s">
        <v>294</v>
      </c>
      <c r="D144" s="33">
        <v>3000</v>
      </c>
      <c r="E144" s="33">
        <v>5000</v>
      </c>
      <c r="F144" s="33">
        <v>5000</v>
      </c>
      <c r="G144" s="33">
        <v>10000</v>
      </c>
      <c r="H144" s="33">
        <v>10000</v>
      </c>
      <c r="I144" s="33">
        <f t="shared" si="10"/>
        <v>33000</v>
      </c>
      <c r="J144" s="4" t="s">
        <v>50</v>
      </c>
    </row>
    <row r="145" spans="1:10" ht="48">
      <c r="A145" s="312"/>
      <c r="B145" s="330"/>
      <c r="C145" s="93" t="s">
        <v>328</v>
      </c>
      <c r="D145" s="33">
        <v>410000</v>
      </c>
      <c r="E145" s="33">
        <v>410000</v>
      </c>
      <c r="F145" s="33">
        <v>410000</v>
      </c>
      <c r="G145" s="33">
        <v>410000</v>
      </c>
      <c r="H145" s="33">
        <v>410000</v>
      </c>
      <c r="I145" s="33">
        <f t="shared" si="10"/>
        <v>2050000</v>
      </c>
      <c r="J145" s="4" t="s">
        <v>21</v>
      </c>
    </row>
    <row r="146" spans="1:10" ht="24">
      <c r="A146" s="312"/>
      <c r="B146" s="335"/>
      <c r="C146" s="14" t="s">
        <v>295</v>
      </c>
      <c r="D146" s="124">
        <v>9000</v>
      </c>
      <c r="E146" s="124">
        <v>10000</v>
      </c>
      <c r="F146" s="124">
        <v>10000</v>
      </c>
      <c r="G146" s="124">
        <v>10000</v>
      </c>
      <c r="H146" s="124">
        <v>10000</v>
      </c>
      <c r="I146" s="124">
        <f t="shared" si="10"/>
        <v>49000</v>
      </c>
      <c r="J146" s="101" t="s">
        <v>50</v>
      </c>
    </row>
    <row r="147" spans="1:10" s="18" customFormat="1" ht="24">
      <c r="A147" s="312"/>
      <c r="B147" s="329" t="s">
        <v>276</v>
      </c>
      <c r="C147" s="95"/>
      <c r="D147" s="96">
        <f>SUM(D148:D150)</f>
        <v>1700000</v>
      </c>
      <c r="E147" s="96">
        <f>SUM(E148:E150)</f>
        <v>2800000</v>
      </c>
      <c r="F147" s="96">
        <f>SUM(F148:F150)</f>
        <v>2900000</v>
      </c>
      <c r="G147" s="96">
        <f>SUM(G148:G150)</f>
        <v>3000000</v>
      </c>
      <c r="H147" s="96">
        <f>SUM(H148:H150)</f>
        <v>3100000</v>
      </c>
      <c r="I147" s="96">
        <f t="shared" si="10"/>
        <v>13500000</v>
      </c>
      <c r="J147" s="26"/>
    </row>
    <row r="148" spans="1:10" ht="24">
      <c r="A148" s="312"/>
      <c r="B148" s="330"/>
      <c r="C148" s="36" t="s">
        <v>147</v>
      </c>
      <c r="D148" s="15">
        <v>0</v>
      </c>
      <c r="E148" s="15">
        <v>1000000</v>
      </c>
      <c r="F148" s="15">
        <v>1000000</v>
      </c>
      <c r="G148" s="15">
        <v>1000000</v>
      </c>
      <c r="H148" s="15">
        <v>1000000</v>
      </c>
      <c r="I148" s="15">
        <f t="shared" si="10"/>
        <v>4000000</v>
      </c>
      <c r="J148" s="4" t="s">
        <v>110</v>
      </c>
    </row>
    <row r="149" spans="1:10" ht="48">
      <c r="A149" s="312"/>
      <c r="B149" s="330"/>
      <c r="C149" s="36" t="s">
        <v>329</v>
      </c>
      <c r="D149" s="15">
        <v>200000</v>
      </c>
      <c r="E149" s="15">
        <v>200000</v>
      </c>
      <c r="F149" s="15">
        <v>200000</v>
      </c>
      <c r="G149" s="15">
        <v>200000</v>
      </c>
      <c r="H149" s="15">
        <v>200000</v>
      </c>
      <c r="I149" s="15">
        <f t="shared" si="10"/>
        <v>1000000</v>
      </c>
      <c r="J149" s="4" t="s">
        <v>21</v>
      </c>
    </row>
    <row r="150" spans="1:10" ht="24">
      <c r="A150" s="312"/>
      <c r="B150" s="335"/>
      <c r="C150" s="100" t="s">
        <v>86</v>
      </c>
      <c r="D150" s="102">
        <v>1500000</v>
      </c>
      <c r="E150" s="102">
        <v>1600000</v>
      </c>
      <c r="F150" s="102">
        <v>1700000</v>
      </c>
      <c r="G150" s="102">
        <v>1800000</v>
      </c>
      <c r="H150" s="102">
        <v>1900000</v>
      </c>
      <c r="I150" s="102">
        <f t="shared" si="10"/>
        <v>8500000</v>
      </c>
      <c r="J150" s="101" t="s">
        <v>123</v>
      </c>
    </row>
    <row r="151" spans="1:10" s="18" customFormat="1" ht="24">
      <c r="A151" s="312"/>
      <c r="B151" s="329" t="s">
        <v>277</v>
      </c>
      <c r="C151" s="95"/>
      <c r="D151" s="96">
        <f>SUM(D152:D156)</f>
        <v>33762200</v>
      </c>
      <c r="E151" s="96">
        <f>SUM(E152:E156)</f>
        <v>33953400</v>
      </c>
      <c r="F151" s="96">
        <f>SUM(F152:F156)</f>
        <v>41555300</v>
      </c>
      <c r="G151" s="96">
        <f>SUM(G152:G156)</f>
        <v>41655300</v>
      </c>
      <c r="H151" s="96">
        <f>SUM(H152:H156)</f>
        <v>55955300</v>
      </c>
      <c r="I151" s="96">
        <f t="shared" si="10"/>
        <v>206881500</v>
      </c>
      <c r="J151" s="26"/>
    </row>
    <row r="152" spans="1:10" ht="24">
      <c r="A152" s="312"/>
      <c r="B152" s="330"/>
      <c r="C152" s="30" t="s">
        <v>32</v>
      </c>
      <c r="D152" s="15">
        <v>100000</v>
      </c>
      <c r="E152" s="15">
        <v>150000</v>
      </c>
      <c r="F152" s="15">
        <v>200000</v>
      </c>
      <c r="G152" s="15">
        <v>250000</v>
      </c>
      <c r="H152" s="15">
        <v>300000</v>
      </c>
      <c r="I152" s="15">
        <f t="shared" ref="I152:I216" si="20">SUM(D152:H152)</f>
        <v>1000000</v>
      </c>
      <c r="J152" s="4" t="s">
        <v>250</v>
      </c>
    </row>
    <row r="153" spans="1:10" ht="24">
      <c r="A153" s="312"/>
      <c r="B153" s="330"/>
      <c r="C153" s="31" t="s">
        <v>39</v>
      </c>
      <c r="D153" s="15">
        <f>31966160+40</f>
        <v>31966200</v>
      </c>
      <c r="E153" s="15">
        <f>10191240+8812120+13154040</f>
        <v>32157400</v>
      </c>
      <c r="F153" s="15">
        <f>6301920+9812120+10191240+13154040-20</f>
        <v>39459300</v>
      </c>
      <c r="G153" s="15">
        <f>6301920+9812120+10191240+13154040-20</f>
        <v>39459300</v>
      </c>
      <c r="H153" s="15">
        <f>6301920+9812120+10191240+13154040+14000000-20</f>
        <v>53459300</v>
      </c>
      <c r="I153" s="15">
        <f t="shared" si="20"/>
        <v>196501500</v>
      </c>
      <c r="J153" s="4" t="s">
        <v>250</v>
      </c>
    </row>
    <row r="154" spans="1:10" ht="48">
      <c r="A154" s="312"/>
      <c r="B154" s="330"/>
      <c r="C154" s="13" t="s">
        <v>40</v>
      </c>
      <c r="D154" s="15">
        <v>100000</v>
      </c>
      <c r="E154" s="15">
        <v>150000</v>
      </c>
      <c r="F154" s="15">
        <v>200000</v>
      </c>
      <c r="G154" s="15">
        <v>250000</v>
      </c>
      <c r="H154" s="15">
        <v>300000</v>
      </c>
      <c r="I154" s="15">
        <f t="shared" si="20"/>
        <v>1000000</v>
      </c>
      <c r="J154" s="4" t="s">
        <v>250</v>
      </c>
    </row>
    <row r="155" spans="1:10" ht="24">
      <c r="A155" s="312"/>
      <c r="B155" s="330"/>
      <c r="C155" s="13" t="s">
        <v>177</v>
      </c>
      <c r="D155" s="15">
        <v>1396000</v>
      </c>
      <c r="E155" s="15">
        <v>1196000</v>
      </c>
      <c r="F155" s="15">
        <v>1296000</v>
      </c>
      <c r="G155" s="15">
        <v>1196000</v>
      </c>
      <c r="H155" s="15">
        <v>1296000</v>
      </c>
      <c r="I155" s="15">
        <f t="shared" si="20"/>
        <v>6380000</v>
      </c>
      <c r="J155" s="4" t="s">
        <v>21</v>
      </c>
    </row>
    <row r="156" spans="1:10" ht="24">
      <c r="A156" s="312"/>
      <c r="B156" s="335"/>
      <c r="C156" s="133" t="s">
        <v>41</v>
      </c>
      <c r="D156" s="102">
        <v>200000</v>
      </c>
      <c r="E156" s="102">
        <v>300000</v>
      </c>
      <c r="F156" s="102">
        <v>400000</v>
      </c>
      <c r="G156" s="102">
        <v>500000</v>
      </c>
      <c r="H156" s="102">
        <v>600000</v>
      </c>
      <c r="I156" s="102">
        <f t="shared" si="20"/>
        <v>2000000</v>
      </c>
      <c r="J156" s="101" t="s">
        <v>250</v>
      </c>
    </row>
    <row r="157" spans="1:10" s="18" customFormat="1" ht="24">
      <c r="A157" s="312"/>
      <c r="B157" s="329" t="s">
        <v>259</v>
      </c>
      <c r="C157" s="95"/>
      <c r="D157" s="96">
        <f>SUM(D158:D159)</f>
        <v>617400</v>
      </c>
      <c r="E157" s="96">
        <f t="shared" ref="E157:H157" si="21">SUM(E158:E159)</f>
        <v>723900</v>
      </c>
      <c r="F157" s="96">
        <f t="shared" si="21"/>
        <v>830400</v>
      </c>
      <c r="G157" s="96">
        <f t="shared" si="21"/>
        <v>941800</v>
      </c>
      <c r="H157" s="96">
        <f t="shared" si="21"/>
        <v>1054900</v>
      </c>
      <c r="I157" s="96">
        <f t="shared" si="20"/>
        <v>4168400</v>
      </c>
      <c r="J157" s="26"/>
    </row>
    <row r="158" spans="1:10" ht="24">
      <c r="A158" s="312"/>
      <c r="B158" s="332"/>
      <c r="C158" s="13" t="s">
        <v>42</v>
      </c>
      <c r="D158" s="113">
        <f>117360+40</f>
        <v>117400</v>
      </c>
      <c r="E158" s="15">
        <f>123880+20</f>
        <v>123900</v>
      </c>
      <c r="F158" s="15">
        <v>130400</v>
      </c>
      <c r="G158" s="15">
        <f>141810-10</f>
        <v>141800</v>
      </c>
      <c r="H158" s="15">
        <f>154850+50</f>
        <v>154900</v>
      </c>
      <c r="I158" s="15">
        <f t="shared" si="20"/>
        <v>668400</v>
      </c>
      <c r="J158" s="4" t="s">
        <v>250</v>
      </c>
    </row>
    <row r="159" spans="1:10" ht="24.75" thickBot="1">
      <c r="A159" s="313"/>
      <c r="B159" s="340"/>
      <c r="C159" s="13" t="s">
        <v>43</v>
      </c>
      <c r="D159" s="114">
        <v>500000</v>
      </c>
      <c r="E159" s="15">
        <v>600000</v>
      </c>
      <c r="F159" s="15">
        <v>700000</v>
      </c>
      <c r="G159" s="15">
        <v>800000</v>
      </c>
      <c r="H159" s="15">
        <v>900000</v>
      </c>
      <c r="I159" s="15">
        <f t="shared" si="20"/>
        <v>3500000</v>
      </c>
      <c r="J159" s="4" t="s">
        <v>250</v>
      </c>
    </row>
    <row r="160" spans="1:10" s="23" customFormat="1" ht="28.5" thickBot="1">
      <c r="A160" s="105"/>
      <c r="B160" s="106"/>
      <c r="C160" s="107" t="s">
        <v>374</v>
      </c>
      <c r="D160" s="109">
        <f>SUM(D157,D151,D147,D140,D124)</f>
        <v>48118500</v>
      </c>
      <c r="E160" s="109">
        <f>SUM(E157,E151,E147,E140,E124)</f>
        <v>50686500</v>
      </c>
      <c r="F160" s="109">
        <f>SUM(F157,F151,F147,F140,F124)</f>
        <v>59654600</v>
      </c>
      <c r="G160" s="109">
        <f>SUM(G157,G151,G147,G140,G124)</f>
        <v>61113000</v>
      </c>
      <c r="H160" s="109">
        <f>SUM(H157,H151,H147,H140,H124)</f>
        <v>76796200</v>
      </c>
      <c r="I160" s="110">
        <f t="shared" si="20"/>
        <v>296368800</v>
      </c>
      <c r="J160" s="108"/>
    </row>
    <row r="161" spans="1:10" s="18" customFormat="1" ht="24" customHeight="1">
      <c r="A161" s="328" t="s">
        <v>367</v>
      </c>
      <c r="B161" s="341" t="s">
        <v>260</v>
      </c>
      <c r="C161" s="128"/>
      <c r="D161" s="130">
        <f>SUM(D162:D176)</f>
        <v>7525300</v>
      </c>
      <c r="E161" s="130">
        <f t="shared" ref="E161:H161" si="22">SUM(E162:E176)</f>
        <v>8195500</v>
      </c>
      <c r="F161" s="130">
        <f t="shared" si="22"/>
        <v>8827900</v>
      </c>
      <c r="G161" s="130">
        <f t="shared" si="22"/>
        <v>9545700</v>
      </c>
      <c r="H161" s="130">
        <f t="shared" si="22"/>
        <v>10257800</v>
      </c>
      <c r="I161" s="130">
        <f t="shared" si="20"/>
        <v>44352200</v>
      </c>
      <c r="J161" s="129"/>
    </row>
    <row r="162" spans="1:10" ht="24">
      <c r="A162" s="312"/>
      <c r="B162" s="330"/>
      <c r="C162" s="39" t="s">
        <v>283</v>
      </c>
      <c r="D162" s="15">
        <v>419000</v>
      </c>
      <c r="E162" s="15">
        <v>500000</v>
      </c>
      <c r="F162" s="15">
        <v>600000</v>
      </c>
      <c r="G162" s="15">
        <v>700000</v>
      </c>
      <c r="H162" s="15">
        <v>800000</v>
      </c>
      <c r="I162" s="15">
        <f t="shared" si="20"/>
        <v>3019000</v>
      </c>
      <c r="J162" s="4" t="s">
        <v>56</v>
      </c>
    </row>
    <row r="163" spans="1:10" ht="48">
      <c r="A163" s="312"/>
      <c r="B163" s="330"/>
      <c r="C163" s="13" t="s">
        <v>44</v>
      </c>
      <c r="D163" s="15">
        <v>100000</v>
      </c>
      <c r="E163" s="15">
        <v>150000</v>
      </c>
      <c r="F163" s="15">
        <v>200000</v>
      </c>
      <c r="G163" s="15">
        <v>250000</v>
      </c>
      <c r="H163" s="15">
        <v>300000</v>
      </c>
      <c r="I163" s="15">
        <f t="shared" si="20"/>
        <v>1000000</v>
      </c>
      <c r="J163" s="4" t="s">
        <v>250</v>
      </c>
    </row>
    <row r="164" spans="1:10" ht="72">
      <c r="A164" s="312"/>
      <c r="B164" s="330"/>
      <c r="C164" s="13" t="s">
        <v>252</v>
      </c>
      <c r="D164" s="15">
        <v>100000</v>
      </c>
      <c r="E164" s="15">
        <v>150000</v>
      </c>
      <c r="F164" s="15">
        <v>200000</v>
      </c>
      <c r="G164" s="15">
        <v>250000</v>
      </c>
      <c r="H164" s="15">
        <v>300000</v>
      </c>
      <c r="I164" s="15">
        <f t="shared" si="20"/>
        <v>1000000</v>
      </c>
      <c r="J164" s="4" t="s">
        <v>250</v>
      </c>
    </row>
    <row r="165" spans="1:10" ht="24">
      <c r="A165" s="312"/>
      <c r="B165" s="330"/>
      <c r="C165" s="94" t="s">
        <v>83</v>
      </c>
      <c r="D165" s="15">
        <v>125000</v>
      </c>
      <c r="E165" s="15">
        <f>ROUND(D165*5%+D165,-2)</f>
        <v>131300</v>
      </c>
      <c r="F165" s="15">
        <f t="shared" ref="F165:H165" si="23">ROUND(E165*5%+E165,-2)</f>
        <v>137900</v>
      </c>
      <c r="G165" s="15">
        <f t="shared" si="23"/>
        <v>144800</v>
      </c>
      <c r="H165" s="15">
        <f t="shared" si="23"/>
        <v>152000</v>
      </c>
      <c r="I165" s="15">
        <f t="shared" si="20"/>
        <v>691000</v>
      </c>
      <c r="J165" s="4" t="s">
        <v>79</v>
      </c>
    </row>
    <row r="166" spans="1:10" ht="24">
      <c r="A166" s="312"/>
      <c r="B166" s="330"/>
      <c r="C166" s="93" t="s">
        <v>72</v>
      </c>
      <c r="D166" s="33">
        <v>50000</v>
      </c>
      <c r="E166" s="33">
        <v>50000</v>
      </c>
      <c r="F166" s="33">
        <v>50000</v>
      </c>
      <c r="G166" s="33">
        <v>50000</v>
      </c>
      <c r="H166" s="33">
        <v>50000</v>
      </c>
      <c r="I166" s="33">
        <f t="shared" si="20"/>
        <v>250000</v>
      </c>
      <c r="J166" s="4" t="s">
        <v>58</v>
      </c>
    </row>
    <row r="167" spans="1:10" ht="24">
      <c r="A167" s="312"/>
      <c r="B167" s="330"/>
      <c r="C167" s="93" t="s">
        <v>296</v>
      </c>
      <c r="D167" s="33">
        <v>23400</v>
      </c>
      <c r="E167" s="33">
        <v>35000</v>
      </c>
      <c r="F167" s="33">
        <v>40000</v>
      </c>
      <c r="G167" s="33">
        <v>40000</v>
      </c>
      <c r="H167" s="33">
        <v>40000</v>
      </c>
      <c r="I167" s="33">
        <f t="shared" si="20"/>
        <v>178400</v>
      </c>
      <c r="J167" s="4" t="s">
        <v>50</v>
      </c>
    </row>
    <row r="168" spans="1:10" ht="24">
      <c r="A168" s="312"/>
      <c r="B168" s="330"/>
      <c r="C168" s="93" t="s">
        <v>297</v>
      </c>
      <c r="D168" s="33">
        <f>11150+50</f>
        <v>11200</v>
      </c>
      <c r="E168" s="33">
        <v>20000</v>
      </c>
      <c r="F168" s="33">
        <v>20000</v>
      </c>
      <c r="G168" s="33">
        <v>20000</v>
      </c>
      <c r="H168" s="33">
        <v>20000</v>
      </c>
      <c r="I168" s="33">
        <f t="shared" si="20"/>
        <v>91200</v>
      </c>
      <c r="J168" s="4" t="s">
        <v>50</v>
      </c>
    </row>
    <row r="169" spans="1:10" ht="24">
      <c r="A169" s="312"/>
      <c r="B169" s="330"/>
      <c r="C169" s="39" t="s">
        <v>284</v>
      </c>
      <c r="D169" s="33">
        <v>641700</v>
      </c>
      <c r="E169" s="33">
        <f>705870+30</f>
        <v>705900</v>
      </c>
      <c r="F169" s="33">
        <f>776457+43</f>
        <v>776500</v>
      </c>
      <c r="G169" s="33">
        <f>854102.7-2.7</f>
        <v>854100</v>
      </c>
      <c r="H169" s="33">
        <f>939512.97-12.97</f>
        <v>939500</v>
      </c>
      <c r="I169" s="33">
        <f t="shared" si="20"/>
        <v>3917700</v>
      </c>
      <c r="J169" s="4" t="s">
        <v>76</v>
      </c>
    </row>
    <row r="170" spans="1:10" ht="24">
      <c r="A170" s="312"/>
      <c r="B170" s="330"/>
      <c r="C170" s="39" t="s">
        <v>284</v>
      </c>
      <c r="D170" s="33">
        <v>50000</v>
      </c>
      <c r="E170" s="33">
        <v>50000</v>
      </c>
      <c r="F170" s="33">
        <v>50000</v>
      </c>
      <c r="G170" s="33">
        <v>50000</v>
      </c>
      <c r="H170" s="33">
        <v>50000</v>
      </c>
      <c r="I170" s="33">
        <f t="shared" si="20"/>
        <v>250000</v>
      </c>
      <c r="J170" s="4" t="s">
        <v>123</v>
      </c>
    </row>
    <row r="171" spans="1:10" ht="24">
      <c r="A171" s="312"/>
      <c r="B171" s="330"/>
      <c r="C171" s="39" t="s">
        <v>315</v>
      </c>
      <c r="D171" s="33">
        <v>250000</v>
      </c>
      <c r="E171" s="33">
        <v>300000</v>
      </c>
      <c r="F171" s="33">
        <v>300000</v>
      </c>
      <c r="G171" s="33">
        <v>350000</v>
      </c>
      <c r="H171" s="33">
        <v>350000</v>
      </c>
      <c r="I171" s="33">
        <f t="shared" si="20"/>
        <v>1550000</v>
      </c>
      <c r="J171" s="4" t="s">
        <v>94</v>
      </c>
    </row>
    <row r="172" spans="1:10" ht="24">
      <c r="A172" s="312"/>
      <c r="B172" s="330"/>
      <c r="C172" s="39" t="s">
        <v>317</v>
      </c>
      <c r="D172" s="33">
        <v>30000</v>
      </c>
      <c r="E172" s="33">
        <v>30000</v>
      </c>
      <c r="F172" s="33">
        <v>30000</v>
      </c>
      <c r="G172" s="33">
        <v>30000</v>
      </c>
      <c r="H172" s="33">
        <v>30000</v>
      </c>
      <c r="I172" s="33">
        <f t="shared" si="20"/>
        <v>150000</v>
      </c>
      <c r="J172" s="4" t="s">
        <v>75</v>
      </c>
    </row>
    <row r="173" spans="1:10" ht="24">
      <c r="A173" s="312"/>
      <c r="B173" s="330"/>
      <c r="C173" s="27" t="s">
        <v>322</v>
      </c>
      <c r="D173" s="15">
        <v>30000</v>
      </c>
      <c r="E173" s="15">
        <f t="shared" ref="E173" si="24">5/100*D173+D173</f>
        <v>31500</v>
      </c>
      <c r="F173" s="15">
        <v>33100</v>
      </c>
      <c r="G173" s="15">
        <v>34800</v>
      </c>
      <c r="H173" s="15">
        <v>36600</v>
      </c>
      <c r="I173" s="15">
        <f t="shared" si="20"/>
        <v>166000</v>
      </c>
      <c r="J173" s="4" t="s">
        <v>97</v>
      </c>
    </row>
    <row r="174" spans="1:10" ht="24">
      <c r="A174" s="312"/>
      <c r="B174" s="330"/>
      <c r="C174" s="47" t="s">
        <v>83</v>
      </c>
      <c r="D174" s="15">
        <v>735000</v>
      </c>
      <c r="E174" s="15">
        <f>5/100*D174+D174+50</f>
        <v>771800</v>
      </c>
      <c r="F174" s="15">
        <v>810400</v>
      </c>
      <c r="G174" s="15">
        <v>851000</v>
      </c>
      <c r="H174" s="15">
        <v>893600</v>
      </c>
      <c r="I174" s="15">
        <f t="shared" si="20"/>
        <v>4061800</v>
      </c>
      <c r="J174" s="4" t="s">
        <v>97</v>
      </c>
    </row>
    <row r="175" spans="1:10" ht="48">
      <c r="A175" s="312"/>
      <c r="B175" s="330"/>
      <c r="C175" s="94" t="s">
        <v>18</v>
      </c>
      <c r="D175" s="15">
        <v>2170000</v>
      </c>
      <c r="E175" s="15">
        <v>2170000</v>
      </c>
      <c r="F175" s="15">
        <v>2170000</v>
      </c>
      <c r="G175" s="15">
        <v>2170000</v>
      </c>
      <c r="H175" s="15">
        <v>2170000</v>
      </c>
      <c r="I175" s="15">
        <f t="shared" si="20"/>
        <v>10850000</v>
      </c>
      <c r="J175" s="4" t="s">
        <v>21</v>
      </c>
    </row>
    <row r="176" spans="1:10" ht="48">
      <c r="A176" s="312"/>
      <c r="B176" s="330"/>
      <c r="C176" s="94" t="s">
        <v>18</v>
      </c>
      <c r="D176" s="15">
        <f>E176*0.9</f>
        <v>2790000</v>
      </c>
      <c r="E176" s="15">
        <v>3100000</v>
      </c>
      <c r="F176" s="15">
        <f>E176*0.1+E176</f>
        <v>3410000</v>
      </c>
      <c r="G176" s="15">
        <f t="shared" ref="G176:H176" si="25">F176*0.1+F176</f>
        <v>3751000</v>
      </c>
      <c r="H176" s="15">
        <f t="shared" si="25"/>
        <v>4126100</v>
      </c>
      <c r="I176" s="15">
        <f t="shared" si="20"/>
        <v>17177100</v>
      </c>
      <c r="J176" s="4" t="s">
        <v>381</v>
      </c>
    </row>
    <row r="177" spans="1:10" ht="24">
      <c r="A177" s="312"/>
      <c r="B177" s="335"/>
      <c r="C177" s="132" t="s">
        <v>317</v>
      </c>
      <c r="D177" s="102">
        <v>92000</v>
      </c>
      <c r="E177" s="102">
        <v>100000</v>
      </c>
      <c r="F177" s="102">
        <v>150000</v>
      </c>
      <c r="G177" s="102">
        <v>200000</v>
      </c>
      <c r="H177" s="102">
        <v>220000</v>
      </c>
      <c r="I177" s="102">
        <f t="shared" si="20"/>
        <v>762000</v>
      </c>
      <c r="J177" s="101" t="s">
        <v>14</v>
      </c>
    </row>
    <row r="178" spans="1:10" s="18" customFormat="1" ht="24">
      <c r="A178" s="312"/>
      <c r="B178" s="329" t="s">
        <v>261</v>
      </c>
      <c r="C178" s="95"/>
      <c r="D178" s="96">
        <f>SUM(D179:D182)</f>
        <v>2568200</v>
      </c>
      <c r="E178" s="96">
        <f>SUM(E179:E182)</f>
        <v>2653000</v>
      </c>
      <c r="F178" s="96">
        <f>SUM(F179:F182)</f>
        <v>2746300</v>
      </c>
      <c r="G178" s="96">
        <f>SUM(G179:G182)</f>
        <v>2849000</v>
      </c>
      <c r="H178" s="96">
        <f>SUM(H179:H182)</f>
        <v>2961900</v>
      </c>
      <c r="I178" s="96">
        <f t="shared" si="20"/>
        <v>13778400</v>
      </c>
      <c r="J178" s="26"/>
    </row>
    <row r="179" spans="1:10" ht="48">
      <c r="A179" s="312"/>
      <c r="B179" s="330"/>
      <c r="C179" s="36" t="s">
        <v>148</v>
      </c>
      <c r="D179" s="15">
        <v>848200</v>
      </c>
      <c r="E179" s="15">
        <v>933000</v>
      </c>
      <c r="F179" s="15">
        <v>1026300</v>
      </c>
      <c r="G179" s="15">
        <v>1129000</v>
      </c>
      <c r="H179" s="15">
        <v>1241900</v>
      </c>
      <c r="I179" s="15">
        <f t="shared" si="20"/>
        <v>5178400</v>
      </c>
      <c r="J179" s="4" t="s">
        <v>110</v>
      </c>
    </row>
    <row r="180" spans="1:10" ht="24">
      <c r="A180" s="312"/>
      <c r="B180" s="330"/>
      <c r="C180" s="42" t="s">
        <v>72</v>
      </c>
      <c r="D180" s="33">
        <v>50000</v>
      </c>
      <c r="E180" s="33">
        <v>50000</v>
      </c>
      <c r="F180" s="33">
        <v>50000</v>
      </c>
      <c r="G180" s="33">
        <v>50000</v>
      </c>
      <c r="H180" s="33">
        <v>50000</v>
      </c>
      <c r="I180" s="33">
        <f t="shared" si="20"/>
        <v>250000</v>
      </c>
      <c r="J180" s="4" t="s">
        <v>58</v>
      </c>
    </row>
    <row r="181" spans="1:10" ht="48">
      <c r="A181" s="312"/>
      <c r="B181" s="330"/>
      <c r="C181" s="56" t="s">
        <v>330</v>
      </c>
      <c r="D181" s="33">
        <v>670000</v>
      </c>
      <c r="E181" s="33">
        <v>670000</v>
      </c>
      <c r="F181" s="33">
        <v>670000</v>
      </c>
      <c r="G181" s="33">
        <v>670000</v>
      </c>
      <c r="H181" s="33">
        <v>670000</v>
      </c>
      <c r="I181" s="33">
        <f t="shared" si="20"/>
        <v>3350000</v>
      </c>
      <c r="J181" s="4" t="s">
        <v>21</v>
      </c>
    </row>
    <row r="182" spans="1:10" ht="24.75" thickBot="1">
      <c r="A182" s="313"/>
      <c r="B182" s="339"/>
      <c r="C182" s="42" t="s">
        <v>87</v>
      </c>
      <c r="D182" s="33">
        <v>1000000</v>
      </c>
      <c r="E182" s="33">
        <v>1000000</v>
      </c>
      <c r="F182" s="33">
        <v>1000000</v>
      </c>
      <c r="G182" s="33">
        <v>1000000</v>
      </c>
      <c r="H182" s="33">
        <v>1000000</v>
      </c>
      <c r="I182" s="33">
        <f t="shared" si="20"/>
        <v>5000000</v>
      </c>
      <c r="J182" s="4" t="s">
        <v>123</v>
      </c>
    </row>
    <row r="183" spans="1:10" s="23" customFormat="1" ht="28.5" thickBot="1">
      <c r="A183" s="105"/>
      <c r="B183" s="106"/>
      <c r="C183" s="107" t="s">
        <v>375</v>
      </c>
      <c r="D183" s="109">
        <f>SUM(D178,D161)</f>
        <v>10093500</v>
      </c>
      <c r="E183" s="109">
        <f t="shared" ref="E183:H183" si="26">SUM(E178,E161)</f>
        <v>10848500</v>
      </c>
      <c r="F183" s="109">
        <f t="shared" si="26"/>
        <v>11574200</v>
      </c>
      <c r="G183" s="109">
        <f t="shared" si="26"/>
        <v>12394700</v>
      </c>
      <c r="H183" s="109">
        <f t="shared" si="26"/>
        <v>13219700</v>
      </c>
      <c r="I183" s="110">
        <f t="shared" ref="I183" si="27">SUM(D183:H183)</f>
        <v>58130600</v>
      </c>
      <c r="J183" s="108"/>
    </row>
    <row r="184" spans="1:10" s="18" customFormat="1" ht="24" customHeight="1">
      <c r="A184" s="328" t="s">
        <v>172</v>
      </c>
      <c r="B184" s="337" t="s">
        <v>262</v>
      </c>
      <c r="C184" s="49"/>
      <c r="D184" s="16">
        <f>SUM(D185:D211)</f>
        <v>148143600</v>
      </c>
      <c r="E184" s="16">
        <f>SUM(E185:E211)</f>
        <v>155156000</v>
      </c>
      <c r="F184" s="16">
        <f>SUM(F185:F211)</f>
        <v>171107300</v>
      </c>
      <c r="G184" s="16">
        <f>SUM(G185:G211)</f>
        <v>187247600</v>
      </c>
      <c r="H184" s="16">
        <f>SUM(H185:H211)</f>
        <v>203655700</v>
      </c>
      <c r="I184" s="16">
        <f t="shared" si="20"/>
        <v>865310200</v>
      </c>
      <c r="J184" s="20"/>
    </row>
    <row r="185" spans="1:10" ht="24">
      <c r="A185" s="312"/>
      <c r="B185" s="330"/>
      <c r="C185" s="94" t="s">
        <v>149</v>
      </c>
      <c r="D185" s="15">
        <v>17352000</v>
      </c>
      <c r="E185" s="15">
        <v>17500000</v>
      </c>
      <c r="F185" s="15">
        <v>17500000</v>
      </c>
      <c r="G185" s="15">
        <v>17500000</v>
      </c>
      <c r="H185" s="15">
        <v>17500000</v>
      </c>
      <c r="I185" s="15">
        <f t="shared" si="20"/>
        <v>87352000</v>
      </c>
      <c r="J185" s="4" t="s">
        <v>56</v>
      </c>
    </row>
    <row r="186" spans="1:10" ht="48">
      <c r="A186" s="312"/>
      <c r="B186" s="330"/>
      <c r="C186" s="94" t="s">
        <v>249</v>
      </c>
      <c r="D186" s="15">
        <v>25812800</v>
      </c>
      <c r="E186" s="15">
        <v>26000000</v>
      </c>
      <c r="F186" s="15">
        <v>26000000</v>
      </c>
      <c r="G186" s="15">
        <v>26000000</v>
      </c>
      <c r="H186" s="15">
        <v>26000000</v>
      </c>
      <c r="I186" s="15">
        <f t="shared" si="20"/>
        <v>129812800</v>
      </c>
      <c r="J186" s="4" t="s">
        <v>56</v>
      </c>
    </row>
    <row r="187" spans="1:10" ht="24">
      <c r="A187" s="312"/>
      <c r="B187" s="330"/>
      <c r="C187" s="30" t="s">
        <v>253</v>
      </c>
      <c r="D187" s="15">
        <v>200000</v>
      </c>
      <c r="E187" s="15">
        <v>300000</v>
      </c>
      <c r="F187" s="15">
        <v>400000</v>
      </c>
      <c r="G187" s="15">
        <v>500000</v>
      </c>
      <c r="H187" s="15">
        <v>600000</v>
      </c>
      <c r="I187" s="15">
        <f t="shared" si="20"/>
        <v>2000000</v>
      </c>
      <c r="J187" s="4" t="s">
        <v>250</v>
      </c>
    </row>
    <row r="188" spans="1:10" ht="24">
      <c r="A188" s="312"/>
      <c r="B188" s="330"/>
      <c r="C188" s="30" t="s">
        <v>48</v>
      </c>
      <c r="D188" s="15">
        <f>21600000</f>
        <v>21600000</v>
      </c>
      <c r="E188" s="15">
        <f>D188+10800000</f>
        <v>32400000</v>
      </c>
      <c r="F188" s="15">
        <f>E188+10800000</f>
        <v>43200000</v>
      </c>
      <c r="G188" s="15">
        <f t="shared" ref="G188:H188" si="28">F188+10800000</f>
        <v>54000000</v>
      </c>
      <c r="H188" s="15">
        <f t="shared" si="28"/>
        <v>64800000</v>
      </c>
      <c r="I188" s="15">
        <f t="shared" si="20"/>
        <v>216000000</v>
      </c>
      <c r="J188" s="4" t="s">
        <v>250</v>
      </c>
    </row>
    <row r="189" spans="1:10" ht="24">
      <c r="A189" s="312"/>
      <c r="B189" s="330"/>
      <c r="C189" s="13" t="s">
        <v>49</v>
      </c>
      <c r="D189" s="15">
        <v>200000</v>
      </c>
      <c r="E189" s="15">
        <v>300000</v>
      </c>
      <c r="F189" s="15">
        <v>400000</v>
      </c>
      <c r="G189" s="15">
        <v>500000</v>
      </c>
      <c r="H189" s="15">
        <v>600000</v>
      </c>
      <c r="I189" s="15">
        <f t="shared" si="20"/>
        <v>2000000</v>
      </c>
      <c r="J189" s="4" t="s">
        <v>250</v>
      </c>
    </row>
    <row r="190" spans="1:10" ht="72">
      <c r="A190" s="312"/>
      <c r="B190" s="330"/>
      <c r="C190" s="94" t="s">
        <v>285</v>
      </c>
      <c r="D190" s="15">
        <f>13384192+60000+70000+8</f>
        <v>13514200</v>
      </c>
      <c r="E190" s="15">
        <f>ROUND(D190*5%+D190,-2)</f>
        <v>14189900</v>
      </c>
      <c r="F190" s="15">
        <f t="shared" ref="F190:H190" si="29">ROUND(E190*5%+E190,-2)</f>
        <v>14899400</v>
      </c>
      <c r="G190" s="15">
        <f t="shared" si="29"/>
        <v>15644400</v>
      </c>
      <c r="H190" s="15">
        <f t="shared" si="29"/>
        <v>16426600</v>
      </c>
      <c r="I190" s="15">
        <f t="shared" si="20"/>
        <v>74674500</v>
      </c>
      <c r="J190" s="4" t="s">
        <v>79</v>
      </c>
    </row>
    <row r="191" spans="1:10" ht="48">
      <c r="A191" s="312"/>
      <c r="B191" s="330"/>
      <c r="C191" s="36" t="s">
        <v>185</v>
      </c>
      <c r="D191" s="15">
        <v>100000</v>
      </c>
      <c r="E191" s="15">
        <v>100000</v>
      </c>
      <c r="F191" s="15">
        <v>100000</v>
      </c>
      <c r="G191" s="15">
        <v>100000</v>
      </c>
      <c r="H191" s="15">
        <v>100000</v>
      </c>
      <c r="I191" s="15">
        <f t="shared" si="20"/>
        <v>500000</v>
      </c>
      <c r="J191" s="4" t="s">
        <v>110</v>
      </c>
    </row>
    <row r="192" spans="1:10" ht="24">
      <c r="A192" s="312"/>
      <c r="B192" s="330"/>
      <c r="C192" s="93" t="s">
        <v>73</v>
      </c>
      <c r="D192" s="33">
        <f>3932770.25+29.75</f>
        <v>3932800</v>
      </c>
      <c r="E192" s="33">
        <f t="shared" ref="E192:H192" si="30">3932770.25+29.75</f>
        <v>3932800</v>
      </c>
      <c r="F192" s="33">
        <f t="shared" si="30"/>
        <v>3932800</v>
      </c>
      <c r="G192" s="33">
        <f t="shared" si="30"/>
        <v>3932800</v>
      </c>
      <c r="H192" s="33">
        <f t="shared" si="30"/>
        <v>3932800</v>
      </c>
      <c r="I192" s="33">
        <f t="shared" si="20"/>
        <v>19664000</v>
      </c>
      <c r="J192" s="4" t="s">
        <v>58</v>
      </c>
    </row>
    <row r="193" spans="1:10" ht="24">
      <c r="A193" s="312"/>
      <c r="B193" s="330"/>
      <c r="C193" s="93" t="s">
        <v>298</v>
      </c>
      <c r="D193" s="33">
        <v>5000</v>
      </c>
      <c r="E193" s="33">
        <v>10000</v>
      </c>
      <c r="F193" s="33">
        <v>20000</v>
      </c>
      <c r="G193" s="33">
        <v>20000</v>
      </c>
      <c r="H193" s="33">
        <v>25000</v>
      </c>
      <c r="I193" s="33">
        <f t="shared" si="20"/>
        <v>80000</v>
      </c>
      <c r="J193" s="4" t="s">
        <v>50</v>
      </c>
    </row>
    <row r="194" spans="1:10" ht="24">
      <c r="A194" s="312"/>
      <c r="B194" s="330"/>
      <c r="C194" s="93" t="s">
        <v>299</v>
      </c>
      <c r="D194" s="33">
        <v>5000</v>
      </c>
      <c r="E194" s="33">
        <v>8000</v>
      </c>
      <c r="F194" s="33">
        <v>0</v>
      </c>
      <c r="G194" s="33">
        <v>10000</v>
      </c>
      <c r="H194" s="33">
        <v>15000</v>
      </c>
      <c r="I194" s="33">
        <f t="shared" si="20"/>
        <v>38000</v>
      </c>
      <c r="J194" s="4" t="s">
        <v>50</v>
      </c>
    </row>
    <row r="195" spans="1:10" ht="24">
      <c r="A195" s="312"/>
      <c r="B195" s="330"/>
      <c r="C195" s="93" t="s">
        <v>300</v>
      </c>
      <c r="D195" s="33">
        <v>10000</v>
      </c>
      <c r="E195" s="33">
        <v>15000</v>
      </c>
      <c r="F195" s="33">
        <v>15000</v>
      </c>
      <c r="G195" s="33">
        <v>15000</v>
      </c>
      <c r="H195" s="33">
        <v>15000</v>
      </c>
      <c r="I195" s="33">
        <f t="shared" si="20"/>
        <v>70000</v>
      </c>
      <c r="J195" s="4" t="s">
        <v>50</v>
      </c>
    </row>
    <row r="196" spans="1:10" ht="48">
      <c r="A196" s="312"/>
      <c r="B196" s="330"/>
      <c r="C196" s="93" t="s">
        <v>301</v>
      </c>
      <c r="D196" s="33">
        <v>28600</v>
      </c>
      <c r="E196" s="33">
        <v>50000</v>
      </c>
      <c r="F196" s="33">
        <v>55000</v>
      </c>
      <c r="G196" s="33">
        <v>60500</v>
      </c>
      <c r="H196" s="33">
        <v>66500</v>
      </c>
      <c r="I196" s="33">
        <f t="shared" si="20"/>
        <v>260600</v>
      </c>
      <c r="J196" s="4" t="s">
        <v>50</v>
      </c>
    </row>
    <row r="197" spans="1:10" ht="48">
      <c r="A197" s="312"/>
      <c r="B197" s="330"/>
      <c r="C197" s="93" t="s">
        <v>302</v>
      </c>
      <c r="D197" s="33">
        <v>10000</v>
      </c>
      <c r="E197" s="33">
        <v>15000</v>
      </c>
      <c r="F197" s="33">
        <v>15000</v>
      </c>
      <c r="G197" s="33">
        <v>20000</v>
      </c>
      <c r="H197" s="33">
        <v>20000</v>
      </c>
      <c r="I197" s="33">
        <f t="shared" si="20"/>
        <v>80000</v>
      </c>
      <c r="J197" s="4" t="s">
        <v>50</v>
      </c>
    </row>
    <row r="198" spans="1:10" ht="24">
      <c r="A198" s="312"/>
      <c r="B198" s="330"/>
      <c r="C198" s="93" t="s">
        <v>78</v>
      </c>
      <c r="D198" s="33">
        <f>15707390+10</f>
        <v>15707400</v>
      </c>
      <c r="E198" s="33">
        <f>17278129-29</f>
        <v>17278100</v>
      </c>
      <c r="F198" s="33">
        <f>19005941.9-41.9</f>
        <v>19005900</v>
      </c>
      <c r="G198" s="33">
        <f>20906536.09-36.09</f>
        <v>20906500</v>
      </c>
      <c r="H198" s="33">
        <f>ROUND(22997189.699,-2)</f>
        <v>22997200</v>
      </c>
      <c r="I198" s="33">
        <f t="shared" si="20"/>
        <v>95895100</v>
      </c>
      <c r="J198" s="4" t="s">
        <v>76</v>
      </c>
    </row>
    <row r="199" spans="1:10" ht="24">
      <c r="A199" s="312"/>
      <c r="B199" s="330"/>
      <c r="C199" s="93" t="s">
        <v>88</v>
      </c>
      <c r="D199" s="33">
        <v>10000000</v>
      </c>
      <c r="E199" s="33">
        <v>1200000</v>
      </c>
      <c r="F199" s="33">
        <v>1400000</v>
      </c>
      <c r="G199" s="33">
        <v>1600000</v>
      </c>
      <c r="H199" s="33">
        <v>1800000</v>
      </c>
      <c r="I199" s="33">
        <f t="shared" si="20"/>
        <v>16000000</v>
      </c>
      <c r="J199" s="4" t="s">
        <v>123</v>
      </c>
    </row>
    <row r="200" spans="1:10" ht="72">
      <c r="A200" s="312"/>
      <c r="B200" s="330"/>
      <c r="C200" s="93" t="s">
        <v>90</v>
      </c>
      <c r="D200" s="33">
        <v>50000</v>
      </c>
      <c r="E200" s="33">
        <v>50000</v>
      </c>
      <c r="F200" s="33">
        <v>50000</v>
      </c>
      <c r="G200" s="33">
        <v>50000</v>
      </c>
      <c r="H200" s="33">
        <v>50000</v>
      </c>
      <c r="I200" s="33">
        <f t="shared" si="20"/>
        <v>250000</v>
      </c>
      <c r="J200" s="4" t="s">
        <v>123</v>
      </c>
    </row>
    <row r="201" spans="1:10" ht="24">
      <c r="A201" s="312"/>
      <c r="B201" s="330"/>
      <c r="C201" s="93" t="s">
        <v>316</v>
      </c>
      <c r="D201" s="33">
        <v>23000000</v>
      </c>
      <c r="E201" s="33">
        <v>24500000</v>
      </c>
      <c r="F201" s="33">
        <v>26000000</v>
      </c>
      <c r="G201" s="33">
        <v>27500000</v>
      </c>
      <c r="H201" s="33">
        <v>29000000</v>
      </c>
      <c r="I201" s="33">
        <f t="shared" si="20"/>
        <v>130000000</v>
      </c>
      <c r="J201" s="4" t="s">
        <v>94</v>
      </c>
    </row>
    <row r="202" spans="1:10" ht="48">
      <c r="A202" s="312"/>
      <c r="B202" s="330"/>
      <c r="C202" s="93" t="s">
        <v>319</v>
      </c>
      <c r="D202" s="33">
        <f>1338820-20</f>
        <v>1338800</v>
      </c>
      <c r="E202" s="33">
        <f>1338820-20</f>
        <v>1338800</v>
      </c>
      <c r="F202" s="33">
        <v>1350000</v>
      </c>
      <c r="G202" s="33">
        <v>1350000</v>
      </c>
      <c r="H202" s="33">
        <v>1350000</v>
      </c>
      <c r="I202" s="33">
        <f t="shared" si="20"/>
        <v>6727600</v>
      </c>
      <c r="J202" s="4" t="s">
        <v>75</v>
      </c>
    </row>
    <row r="203" spans="1:10" ht="48">
      <c r="A203" s="312"/>
      <c r="B203" s="330"/>
      <c r="C203" s="93" t="s">
        <v>320</v>
      </c>
      <c r="D203" s="33">
        <f>2399566+34</f>
        <v>2399600</v>
      </c>
      <c r="E203" s="33">
        <f>2399566+34</f>
        <v>2399600</v>
      </c>
      <c r="F203" s="33">
        <v>2500000</v>
      </c>
      <c r="G203" s="33">
        <v>2500000</v>
      </c>
      <c r="H203" s="33">
        <v>2500000</v>
      </c>
      <c r="I203" s="33">
        <f t="shared" si="20"/>
        <v>12299200</v>
      </c>
      <c r="J203" s="4" t="s">
        <v>75</v>
      </c>
    </row>
    <row r="204" spans="1:10" ht="24">
      <c r="A204" s="312"/>
      <c r="B204" s="330"/>
      <c r="C204" s="93" t="s">
        <v>150</v>
      </c>
      <c r="D204" s="33">
        <f>185160+40</f>
        <v>185200</v>
      </c>
      <c r="E204" s="33">
        <f>185160+40</f>
        <v>185200</v>
      </c>
      <c r="F204" s="33">
        <v>150000</v>
      </c>
      <c r="G204" s="33">
        <v>150000</v>
      </c>
      <c r="H204" s="33">
        <v>150000</v>
      </c>
      <c r="I204" s="33">
        <f t="shared" si="20"/>
        <v>820400</v>
      </c>
      <c r="J204" s="4" t="s">
        <v>75</v>
      </c>
    </row>
    <row r="205" spans="1:10" ht="24">
      <c r="A205" s="312"/>
      <c r="B205" s="330"/>
      <c r="C205" s="93" t="s">
        <v>151</v>
      </c>
      <c r="D205" s="33">
        <f>100940-40</f>
        <v>100900</v>
      </c>
      <c r="E205" s="33">
        <f>100940-40</f>
        <v>100900</v>
      </c>
      <c r="F205" s="33">
        <v>100000</v>
      </c>
      <c r="G205" s="33">
        <v>100000</v>
      </c>
      <c r="H205" s="33">
        <v>100000</v>
      </c>
      <c r="I205" s="33">
        <f t="shared" si="20"/>
        <v>501800</v>
      </c>
      <c r="J205" s="4" t="s">
        <v>75</v>
      </c>
    </row>
    <row r="206" spans="1:10" ht="48">
      <c r="A206" s="312"/>
      <c r="B206" s="330"/>
      <c r="C206" s="46" t="s">
        <v>103</v>
      </c>
      <c r="D206" s="15">
        <v>7144000</v>
      </c>
      <c r="E206" s="15">
        <v>7572700</v>
      </c>
      <c r="F206" s="15">
        <v>8027100</v>
      </c>
      <c r="G206" s="15">
        <v>8508800</v>
      </c>
      <c r="H206" s="15">
        <v>9019400</v>
      </c>
      <c r="I206" s="15">
        <f t="shared" si="20"/>
        <v>40272000</v>
      </c>
      <c r="J206" s="4" t="s">
        <v>97</v>
      </c>
    </row>
    <row r="207" spans="1:10" ht="48">
      <c r="A207" s="312"/>
      <c r="B207" s="330"/>
      <c r="C207" s="46" t="s">
        <v>104</v>
      </c>
      <c r="D207" s="115">
        <v>2226000</v>
      </c>
      <c r="E207" s="15">
        <f>6/100*D207+D207+40</f>
        <v>2359600</v>
      </c>
      <c r="F207" s="15">
        <v>2501200</v>
      </c>
      <c r="G207" s="15">
        <v>2651300</v>
      </c>
      <c r="H207" s="15">
        <v>2810400</v>
      </c>
      <c r="I207" s="15">
        <f t="shared" si="20"/>
        <v>12548500</v>
      </c>
      <c r="J207" s="4" t="s">
        <v>97</v>
      </c>
    </row>
    <row r="208" spans="1:10" ht="24">
      <c r="A208" s="312"/>
      <c r="B208" s="330"/>
      <c r="C208" s="46" t="s">
        <v>105</v>
      </c>
      <c r="D208" s="15">
        <v>469000</v>
      </c>
      <c r="E208" s="15">
        <f>5/100*D208+D208+50</f>
        <v>492500</v>
      </c>
      <c r="F208" s="15">
        <v>517100</v>
      </c>
      <c r="G208" s="15">
        <v>543000</v>
      </c>
      <c r="H208" s="15">
        <v>570200</v>
      </c>
      <c r="I208" s="15">
        <f t="shared" si="20"/>
        <v>2591800</v>
      </c>
      <c r="J208" s="4" t="s">
        <v>97</v>
      </c>
    </row>
    <row r="209" spans="1:10" ht="24">
      <c r="A209" s="312"/>
      <c r="B209" s="330"/>
      <c r="C209" s="27" t="s">
        <v>108</v>
      </c>
      <c r="D209" s="15">
        <f>1912270+30</f>
        <v>1912300</v>
      </c>
      <c r="E209" s="15">
        <v>2007900</v>
      </c>
      <c r="F209" s="15">
        <v>2108300</v>
      </c>
      <c r="G209" s="15">
        <v>2213800</v>
      </c>
      <c r="H209" s="15">
        <v>2324500</v>
      </c>
      <c r="I209" s="15">
        <f t="shared" si="20"/>
        <v>10566800</v>
      </c>
      <c r="J209" s="4" t="s">
        <v>97</v>
      </c>
    </row>
    <row r="210" spans="1:10" ht="24">
      <c r="A210" s="312"/>
      <c r="B210" s="330"/>
      <c r="C210" s="47" t="s">
        <v>109</v>
      </c>
      <c r="D210" s="15">
        <v>200000</v>
      </c>
      <c r="E210" s="15">
        <v>210000</v>
      </c>
      <c r="F210" s="15">
        <v>220500</v>
      </c>
      <c r="G210" s="15">
        <f>231525-25</f>
        <v>231500</v>
      </c>
      <c r="H210" s="15">
        <f>243101.25-1.25</f>
        <v>243100</v>
      </c>
      <c r="I210" s="15">
        <f t="shared" si="20"/>
        <v>1105100</v>
      </c>
      <c r="J210" s="4" t="s">
        <v>97</v>
      </c>
    </row>
    <row r="211" spans="1:10" ht="24">
      <c r="A211" s="312"/>
      <c r="B211" s="330"/>
      <c r="C211" s="94" t="s">
        <v>331</v>
      </c>
      <c r="D211" s="15">
        <v>640000</v>
      </c>
      <c r="E211" s="15">
        <v>640000</v>
      </c>
      <c r="F211" s="15">
        <v>640000</v>
      </c>
      <c r="G211" s="15">
        <v>640000</v>
      </c>
      <c r="H211" s="15">
        <v>640000</v>
      </c>
      <c r="I211" s="15">
        <f t="shared" si="20"/>
        <v>3200000</v>
      </c>
      <c r="J211" s="4" t="s">
        <v>21</v>
      </c>
    </row>
    <row r="212" spans="1:10" ht="24">
      <c r="A212" s="312"/>
      <c r="B212" s="330"/>
      <c r="C212" s="27" t="s">
        <v>344</v>
      </c>
      <c r="D212" s="15">
        <v>4957500</v>
      </c>
      <c r="E212" s="15">
        <v>5000000</v>
      </c>
      <c r="F212" s="15">
        <v>5500000</v>
      </c>
      <c r="G212" s="15">
        <v>6000000</v>
      </c>
      <c r="H212" s="15">
        <v>6500000</v>
      </c>
      <c r="I212" s="15">
        <f t="shared" si="20"/>
        <v>27957500</v>
      </c>
      <c r="J212" s="4" t="s">
        <v>14</v>
      </c>
    </row>
    <row r="213" spans="1:10" ht="24">
      <c r="A213" s="312"/>
      <c r="B213" s="330"/>
      <c r="C213" s="27" t="s">
        <v>345</v>
      </c>
      <c r="D213" s="15">
        <v>118000</v>
      </c>
      <c r="E213" s="15">
        <v>120000</v>
      </c>
      <c r="F213" s="15">
        <v>150000</v>
      </c>
      <c r="G213" s="15">
        <v>200000</v>
      </c>
      <c r="H213" s="15">
        <v>250000</v>
      </c>
      <c r="I213" s="15">
        <f t="shared" si="20"/>
        <v>838000</v>
      </c>
      <c r="J213" s="4" t="s">
        <v>14</v>
      </c>
    </row>
    <row r="214" spans="1:10" ht="24">
      <c r="A214" s="312"/>
      <c r="B214" s="335"/>
      <c r="C214" s="127" t="s">
        <v>346</v>
      </c>
      <c r="D214" s="102">
        <v>95000</v>
      </c>
      <c r="E214" s="102">
        <v>150000</v>
      </c>
      <c r="F214" s="102">
        <v>170000</v>
      </c>
      <c r="G214" s="102">
        <v>200000</v>
      </c>
      <c r="H214" s="102">
        <v>220000</v>
      </c>
      <c r="I214" s="102">
        <f t="shared" si="20"/>
        <v>835000</v>
      </c>
      <c r="J214" s="101" t="s">
        <v>14</v>
      </c>
    </row>
    <row r="215" spans="1:10" s="18" customFormat="1" ht="24">
      <c r="A215" s="312"/>
      <c r="B215" s="329" t="s">
        <v>263</v>
      </c>
      <c r="C215" s="95"/>
      <c r="D215" s="96">
        <f>SUM(D216:D227)</f>
        <v>8161400</v>
      </c>
      <c r="E215" s="96">
        <f>SUM(E216:E227)</f>
        <v>8309900</v>
      </c>
      <c r="F215" s="96">
        <f>SUM(F216:F227)</f>
        <v>8526700</v>
      </c>
      <c r="G215" s="96">
        <f>SUM(G216:G227)</f>
        <v>8636000</v>
      </c>
      <c r="H215" s="96">
        <f>SUM(H216:H227)</f>
        <v>8745800</v>
      </c>
      <c r="I215" s="96">
        <f t="shared" si="20"/>
        <v>42379800</v>
      </c>
      <c r="J215" s="26"/>
    </row>
    <row r="216" spans="1:10" ht="48">
      <c r="A216" s="312"/>
      <c r="B216" s="330"/>
      <c r="C216" s="30" t="s">
        <v>45</v>
      </c>
      <c r="D216" s="15">
        <v>1500000</v>
      </c>
      <c r="E216" s="15">
        <v>1500000</v>
      </c>
      <c r="F216" s="15">
        <v>1500000</v>
      </c>
      <c r="G216" s="15">
        <v>1500000</v>
      </c>
      <c r="H216" s="15">
        <v>1500000</v>
      </c>
      <c r="I216" s="15">
        <f t="shared" si="20"/>
        <v>7500000</v>
      </c>
      <c r="J216" s="4" t="s">
        <v>250</v>
      </c>
    </row>
    <row r="217" spans="1:10" ht="48">
      <c r="A217" s="312"/>
      <c r="B217" s="330"/>
      <c r="C217" s="30" t="s">
        <v>47</v>
      </c>
      <c r="D217" s="15">
        <v>100000</v>
      </c>
      <c r="E217" s="15">
        <v>200000</v>
      </c>
      <c r="F217" s="15">
        <v>300000</v>
      </c>
      <c r="G217" s="15">
        <v>400000</v>
      </c>
      <c r="H217" s="15">
        <v>500000</v>
      </c>
      <c r="I217" s="15">
        <f t="shared" ref="I217:I260" si="31">SUM(D217:H217)</f>
        <v>1500000</v>
      </c>
      <c r="J217" s="4" t="s">
        <v>250</v>
      </c>
    </row>
    <row r="218" spans="1:10" ht="24">
      <c r="A218" s="312"/>
      <c r="B218" s="330"/>
      <c r="C218" s="43" t="s">
        <v>256</v>
      </c>
      <c r="D218" s="15">
        <v>169300</v>
      </c>
      <c r="E218" s="15">
        <f>ROUND(D218*5%+D218,-2)</f>
        <v>177800</v>
      </c>
      <c r="F218" s="15">
        <f t="shared" ref="F218:H218" si="32">ROUND(E218*5%+E218,-2)</f>
        <v>186700</v>
      </c>
      <c r="G218" s="15">
        <f t="shared" si="32"/>
        <v>196000</v>
      </c>
      <c r="H218" s="15">
        <f t="shared" si="32"/>
        <v>205800</v>
      </c>
      <c r="I218" s="15">
        <f t="shared" si="31"/>
        <v>935600</v>
      </c>
      <c r="J218" s="4" t="s">
        <v>79</v>
      </c>
    </row>
    <row r="219" spans="1:10" ht="48">
      <c r="A219" s="312"/>
      <c r="B219" s="330"/>
      <c r="C219" s="36" t="s">
        <v>152</v>
      </c>
      <c r="D219" s="15">
        <v>200000</v>
      </c>
      <c r="E219" s="15">
        <v>200000</v>
      </c>
      <c r="F219" s="15">
        <v>300000</v>
      </c>
      <c r="G219" s="15">
        <v>300000</v>
      </c>
      <c r="H219" s="15">
        <v>300000</v>
      </c>
      <c r="I219" s="15">
        <f t="shared" si="31"/>
        <v>1300000</v>
      </c>
      <c r="J219" s="4" t="s">
        <v>110</v>
      </c>
    </row>
    <row r="220" spans="1:10" ht="48">
      <c r="A220" s="312"/>
      <c r="B220" s="330"/>
      <c r="C220" s="36" t="s">
        <v>19</v>
      </c>
      <c r="D220" s="15">
        <v>0</v>
      </c>
      <c r="E220" s="15">
        <v>40000</v>
      </c>
      <c r="F220" s="15">
        <v>0</v>
      </c>
      <c r="G220" s="15">
        <v>0</v>
      </c>
      <c r="H220" s="15">
        <v>0</v>
      </c>
      <c r="I220" s="15">
        <f t="shared" si="31"/>
        <v>40000</v>
      </c>
      <c r="J220" s="4" t="s">
        <v>50</v>
      </c>
    </row>
    <row r="221" spans="1:10" ht="24">
      <c r="A221" s="312"/>
      <c r="B221" s="330"/>
      <c r="C221" s="36" t="s">
        <v>92</v>
      </c>
      <c r="D221" s="15">
        <v>100000</v>
      </c>
      <c r="E221" s="15">
        <v>100000</v>
      </c>
      <c r="F221" s="15">
        <v>100000</v>
      </c>
      <c r="G221" s="15">
        <v>100000</v>
      </c>
      <c r="H221" s="15">
        <v>100000</v>
      </c>
      <c r="I221" s="15">
        <f t="shared" si="31"/>
        <v>500000</v>
      </c>
      <c r="J221" s="4" t="s">
        <v>123</v>
      </c>
    </row>
    <row r="222" spans="1:10" ht="48">
      <c r="A222" s="312"/>
      <c r="B222" s="330"/>
      <c r="C222" s="46" t="s">
        <v>154</v>
      </c>
      <c r="D222" s="15">
        <v>116400</v>
      </c>
      <c r="E222" s="15">
        <v>116400</v>
      </c>
      <c r="F222" s="15">
        <v>100000</v>
      </c>
      <c r="G222" s="15">
        <v>100000</v>
      </c>
      <c r="H222" s="15">
        <v>100000</v>
      </c>
      <c r="I222" s="15">
        <f t="shared" si="31"/>
        <v>532800</v>
      </c>
      <c r="J222" s="4" t="s">
        <v>75</v>
      </c>
    </row>
    <row r="223" spans="1:10" ht="48">
      <c r="A223" s="312"/>
      <c r="B223" s="330"/>
      <c r="C223" s="27" t="s">
        <v>155</v>
      </c>
      <c r="D223" s="15">
        <v>200000</v>
      </c>
      <c r="E223" s="15">
        <v>200000</v>
      </c>
      <c r="F223" s="15">
        <v>230000</v>
      </c>
      <c r="G223" s="15">
        <v>230000</v>
      </c>
      <c r="H223" s="15">
        <v>230000</v>
      </c>
      <c r="I223" s="15">
        <f t="shared" si="31"/>
        <v>1090000</v>
      </c>
      <c r="J223" s="4" t="s">
        <v>75</v>
      </c>
    </row>
    <row r="224" spans="1:10" ht="48">
      <c r="A224" s="312"/>
      <c r="B224" s="330"/>
      <c r="C224" s="27" t="s">
        <v>156</v>
      </c>
      <c r="D224" s="15">
        <v>35000</v>
      </c>
      <c r="E224" s="15">
        <v>35000</v>
      </c>
      <c r="F224" s="15">
        <v>35000</v>
      </c>
      <c r="G224" s="15">
        <v>35000</v>
      </c>
      <c r="H224" s="15">
        <v>35000</v>
      </c>
      <c r="I224" s="15">
        <f t="shared" si="31"/>
        <v>175000</v>
      </c>
      <c r="J224" s="4" t="s">
        <v>75</v>
      </c>
    </row>
    <row r="225" spans="1:10" ht="24">
      <c r="A225" s="312"/>
      <c r="B225" s="330"/>
      <c r="C225" s="36" t="s">
        <v>153</v>
      </c>
      <c r="D225" s="15">
        <v>165700</v>
      </c>
      <c r="E225" s="15">
        <v>165700</v>
      </c>
      <c r="F225" s="15">
        <v>200000</v>
      </c>
      <c r="G225" s="15">
        <v>200000</v>
      </c>
      <c r="H225" s="15">
        <v>200000</v>
      </c>
      <c r="I225" s="15">
        <f t="shared" si="31"/>
        <v>931400</v>
      </c>
      <c r="J225" s="4" t="s">
        <v>75</v>
      </c>
    </row>
    <row r="226" spans="1:10" ht="48">
      <c r="A226" s="312"/>
      <c r="B226" s="330"/>
      <c r="C226" s="36" t="s">
        <v>318</v>
      </c>
      <c r="D226" s="15">
        <v>5500000</v>
      </c>
      <c r="E226" s="15">
        <v>5500000</v>
      </c>
      <c r="F226" s="15">
        <v>5500000</v>
      </c>
      <c r="G226" s="15">
        <v>5500000</v>
      </c>
      <c r="H226" s="15">
        <v>5500000</v>
      </c>
      <c r="I226" s="15">
        <f t="shared" si="31"/>
        <v>27500000</v>
      </c>
      <c r="J226" s="4" t="s">
        <v>75</v>
      </c>
    </row>
    <row r="227" spans="1:10" ht="48.75" thickBot="1">
      <c r="A227" s="312"/>
      <c r="B227" s="330"/>
      <c r="C227" s="36" t="s">
        <v>332</v>
      </c>
      <c r="D227" s="15">
        <v>75000</v>
      </c>
      <c r="E227" s="15">
        <v>75000</v>
      </c>
      <c r="F227" s="15">
        <v>75000</v>
      </c>
      <c r="G227" s="15">
        <v>75000</v>
      </c>
      <c r="H227" s="15">
        <v>75000</v>
      </c>
      <c r="I227" s="15">
        <f t="shared" si="31"/>
        <v>375000</v>
      </c>
      <c r="J227" s="4" t="s">
        <v>21</v>
      </c>
    </row>
    <row r="228" spans="1:10" s="23" customFormat="1" ht="28.5" thickBot="1">
      <c r="A228" s="105"/>
      <c r="B228" s="106"/>
      <c r="C228" s="107" t="s">
        <v>376</v>
      </c>
      <c r="D228" s="109">
        <f>SUM(D215,D184)</f>
        <v>156305000</v>
      </c>
      <c r="E228" s="109">
        <f>SUM(E215,E184)</f>
        <v>163465900</v>
      </c>
      <c r="F228" s="109">
        <f>SUM(F215,F184)</f>
        <v>179634000</v>
      </c>
      <c r="G228" s="109">
        <f>SUM(G215,G184)</f>
        <v>195883600</v>
      </c>
      <c r="H228" s="109">
        <f>SUM(H215,H184)</f>
        <v>212401500</v>
      </c>
      <c r="I228" s="110">
        <f t="shared" si="31"/>
        <v>907690000</v>
      </c>
      <c r="J228" s="108"/>
    </row>
    <row r="229" spans="1:10" s="18" customFormat="1" ht="24" customHeight="1">
      <c r="A229" s="328" t="s">
        <v>173</v>
      </c>
      <c r="B229" s="336" t="s">
        <v>266</v>
      </c>
      <c r="C229" s="128"/>
      <c r="D229" s="130">
        <f>SUM(D230:D239)</f>
        <v>30783600</v>
      </c>
      <c r="E229" s="130">
        <f>SUM(E230:E239)</f>
        <v>32569100</v>
      </c>
      <c r="F229" s="130">
        <f>SUM(F230:F239)</f>
        <v>34271100</v>
      </c>
      <c r="G229" s="130">
        <f>SUM(G230:G239)</f>
        <v>36036700</v>
      </c>
      <c r="H229" s="130">
        <f>SUM(H230:H239)</f>
        <v>37715000</v>
      </c>
      <c r="I229" s="130">
        <f t="shared" si="31"/>
        <v>171375500</v>
      </c>
      <c r="J229" s="129"/>
    </row>
    <row r="230" spans="1:10" ht="24">
      <c r="A230" s="312"/>
      <c r="B230" s="330"/>
      <c r="C230" s="94" t="s">
        <v>286</v>
      </c>
      <c r="D230" s="15">
        <v>2000000</v>
      </c>
      <c r="E230" s="15">
        <v>2000000</v>
      </c>
      <c r="F230" s="15">
        <v>2000000</v>
      </c>
      <c r="G230" s="15">
        <v>2000000</v>
      </c>
      <c r="H230" s="15">
        <v>2000000</v>
      </c>
      <c r="I230" s="15">
        <f t="shared" si="31"/>
        <v>10000000</v>
      </c>
      <c r="J230" s="4" t="s">
        <v>56</v>
      </c>
    </row>
    <row r="231" spans="1:10" ht="24">
      <c r="A231" s="312"/>
      <c r="B231" s="330"/>
      <c r="C231" s="94" t="s">
        <v>34</v>
      </c>
      <c r="D231" s="15">
        <v>520000</v>
      </c>
      <c r="E231" s="15">
        <f>ROUND(D231*5%+D231,-2)</f>
        <v>546000</v>
      </c>
      <c r="F231" s="15">
        <f t="shared" ref="F231:H231" si="33">ROUND(E231*5%+E231,-2)</f>
        <v>573300</v>
      </c>
      <c r="G231" s="15">
        <f t="shared" si="33"/>
        <v>602000</v>
      </c>
      <c r="H231" s="15">
        <f t="shared" si="33"/>
        <v>632100</v>
      </c>
      <c r="I231" s="15">
        <f t="shared" si="31"/>
        <v>2873400</v>
      </c>
      <c r="J231" s="4" t="s">
        <v>79</v>
      </c>
    </row>
    <row r="232" spans="1:10" ht="24">
      <c r="A232" s="312"/>
      <c r="B232" s="330"/>
      <c r="C232" s="36" t="s">
        <v>183</v>
      </c>
      <c r="D232" s="15">
        <v>605000</v>
      </c>
      <c r="E232" s="15">
        <v>700000</v>
      </c>
      <c r="F232" s="15">
        <v>700000</v>
      </c>
      <c r="G232" s="15">
        <v>800000</v>
      </c>
      <c r="H232" s="15">
        <v>800000</v>
      </c>
      <c r="I232" s="15">
        <f t="shared" si="31"/>
        <v>3605000</v>
      </c>
      <c r="J232" s="4" t="s">
        <v>110</v>
      </c>
    </row>
    <row r="233" spans="1:10" ht="48">
      <c r="A233" s="312"/>
      <c r="B233" s="330"/>
      <c r="C233" s="36" t="s">
        <v>184</v>
      </c>
      <c r="D233" s="15">
        <v>200000</v>
      </c>
      <c r="E233" s="15">
        <v>250000</v>
      </c>
      <c r="F233" s="15">
        <v>300000</v>
      </c>
      <c r="G233" s="15">
        <v>300000</v>
      </c>
      <c r="H233" s="15">
        <v>300000</v>
      </c>
      <c r="I233" s="15">
        <f t="shared" si="31"/>
        <v>1350000</v>
      </c>
      <c r="J233" s="4" t="s">
        <v>110</v>
      </c>
    </row>
    <row r="234" spans="1:10" ht="24">
      <c r="A234" s="312"/>
      <c r="B234" s="330"/>
      <c r="C234" s="36" t="s">
        <v>303</v>
      </c>
      <c r="D234" s="15">
        <v>204000</v>
      </c>
      <c r="E234" s="15">
        <v>224000</v>
      </c>
      <c r="F234" s="15">
        <v>246000</v>
      </c>
      <c r="G234" s="15">
        <v>271500</v>
      </c>
      <c r="H234" s="15">
        <v>298600</v>
      </c>
      <c r="I234" s="15">
        <f t="shared" si="31"/>
        <v>1244100</v>
      </c>
      <c r="J234" s="4" t="s">
        <v>50</v>
      </c>
    </row>
    <row r="235" spans="1:10" ht="24">
      <c r="A235" s="312"/>
      <c r="B235" s="330"/>
      <c r="C235" s="36" t="s">
        <v>303</v>
      </c>
      <c r="D235" s="15">
        <v>669400</v>
      </c>
      <c r="E235" s="15">
        <f>736340-40</f>
        <v>736300</v>
      </c>
      <c r="F235" s="15">
        <f>809974+26</f>
        <v>810000</v>
      </c>
      <c r="G235" s="15">
        <f>890971.4+28.6</f>
        <v>891000</v>
      </c>
      <c r="H235" s="15">
        <f>980068.54+31.46</f>
        <v>980100</v>
      </c>
      <c r="I235" s="15">
        <f t="shared" si="31"/>
        <v>4086800</v>
      </c>
      <c r="J235" s="4" t="s">
        <v>76</v>
      </c>
    </row>
    <row r="236" spans="1:10" ht="24">
      <c r="A236" s="312"/>
      <c r="B236" s="330"/>
      <c r="C236" s="36" t="s">
        <v>313</v>
      </c>
      <c r="D236" s="15">
        <v>23000000</v>
      </c>
      <c r="E236" s="15">
        <v>24500000</v>
      </c>
      <c r="F236" s="15">
        <v>26000000</v>
      </c>
      <c r="G236" s="15">
        <v>27500000</v>
      </c>
      <c r="H236" s="15">
        <v>29000000</v>
      </c>
      <c r="I236" s="15">
        <f t="shared" si="31"/>
        <v>130000000</v>
      </c>
      <c r="J236" s="4" t="s">
        <v>94</v>
      </c>
    </row>
    <row r="237" spans="1:10" ht="48">
      <c r="A237" s="312"/>
      <c r="B237" s="330"/>
      <c r="C237" s="36" t="s">
        <v>321</v>
      </c>
      <c r="D237" s="116">
        <v>170000</v>
      </c>
      <c r="E237" s="116">
        <v>170000</v>
      </c>
      <c r="F237" s="116">
        <v>170000</v>
      </c>
      <c r="G237" s="116">
        <v>170000</v>
      </c>
      <c r="H237" s="116">
        <v>170000</v>
      </c>
      <c r="I237" s="116">
        <f t="shared" si="31"/>
        <v>850000</v>
      </c>
      <c r="J237" s="4" t="s">
        <v>75</v>
      </c>
    </row>
    <row r="238" spans="1:10" ht="24">
      <c r="A238" s="312"/>
      <c r="B238" s="330"/>
      <c r="C238" s="36" t="s">
        <v>323</v>
      </c>
      <c r="D238" s="116">
        <v>551200</v>
      </c>
      <c r="E238" s="116">
        <v>578800</v>
      </c>
      <c r="F238" s="116">
        <v>607800</v>
      </c>
      <c r="G238" s="116">
        <v>638200</v>
      </c>
      <c r="H238" s="116">
        <v>670200</v>
      </c>
      <c r="I238" s="116">
        <f t="shared" si="31"/>
        <v>3046200</v>
      </c>
      <c r="J238" s="4" t="s">
        <v>97</v>
      </c>
    </row>
    <row r="239" spans="1:10" ht="24">
      <c r="A239" s="312"/>
      <c r="B239" s="330"/>
      <c r="C239" s="36" t="s">
        <v>333</v>
      </c>
      <c r="D239" s="116">
        <v>2864000</v>
      </c>
      <c r="E239" s="116">
        <v>2864000</v>
      </c>
      <c r="F239" s="116">
        <v>2864000</v>
      </c>
      <c r="G239" s="116">
        <v>2864000</v>
      </c>
      <c r="H239" s="116">
        <v>2864000</v>
      </c>
      <c r="I239" s="116">
        <f t="shared" si="31"/>
        <v>14320000</v>
      </c>
      <c r="J239" s="4" t="s">
        <v>21</v>
      </c>
    </row>
    <row r="240" spans="1:10" ht="48">
      <c r="A240" s="312"/>
      <c r="B240" s="330"/>
      <c r="C240" s="36" t="s">
        <v>349</v>
      </c>
      <c r="D240" s="117">
        <v>0</v>
      </c>
      <c r="E240" s="117">
        <v>30000</v>
      </c>
      <c r="F240" s="117">
        <v>30000</v>
      </c>
      <c r="G240" s="117">
        <v>30000</v>
      </c>
      <c r="H240" s="117">
        <v>30000</v>
      </c>
      <c r="I240" s="117">
        <f t="shared" si="31"/>
        <v>120000</v>
      </c>
      <c r="J240" s="73" t="s">
        <v>14</v>
      </c>
    </row>
    <row r="241" spans="1:10" ht="24">
      <c r="A241" s="312"/>
      <c r="B241" s="335"/>
      <c r="C241" s="100" t="s">
        <v>350</v>
      </c>
      <c r="D241" s="119">
        <v>0</v>
      </c>
      <c r="E241" s="119">
        <v>50000</v>
      </c>
      <c r="F241" s="119">
        <v>50000</v>
      </c>
      <c r="G241" s="119">
        <v>50000</v>
      </c>
      <c r="H241" s="119">
        <v>50000</v>
      </c>
      <c r="I241" s="119">
        <f t="shared" si="31"/>
        <v>200000</v>
      </c>
      <c r="J241" s="123" t="s">
        <v>14</v>
      </c>
    </row>
    <row r="242" spans="1:10" s="18" customFormat="1" ht="24">
      <c r="A242" s="312"/>
      <c r="B242" s="334" t="s">
        <v>265</v>
      </c>
      <c r="C242" s="125"/>
      <c r="D242" s="99">
        <f>SUM(D243:D251)</f>
        <v>17339600</v>
      </c>
      <c r="E242" s="99">
        <f>SUM(E243:E251)</f>
        <v>17648600</v>
      </c>
      <c r="F242" s="99">
        <f>SUM(F243:F251)</f>
        <v>17989800</v>
      </c>
      <c r="G242" s="99">
        <f>SUM(G243:G251)</f>
        <v>18322600</v>
      </c>
      <c r="H242" s="99">
        <f>SUM(H243:H251)</f>
        <v>18667100</v>
      </c>
      <c r="I242" s="99">
        <f t="shared" si="31"/>
        <v>89967700</v>
      </c>
      <c r="J242" s="126"/>
    </row>
    <row r="243" spans="1:10" ht="24">
      <c r="A243" s="312"/>
      <c r="B243" s="330"/>
      <c r="C243" s="30" t="s">
        <v>46</v>
      </c>
      <c r="D243" s="15">
        <v>100000</v>
      </c>
      <c r="E243" s="15">
        <v>200000</v>
      </c>
      <c r="F243" s="15">
        <v>300000</v>
      </c>
      <c r="G243" s="15">
        <v>400000</v>
      </c>
      <c r="H243" s="15">
        <v>500000</v>
      </c>
      <c r="I243" s="15">
        <f t="shared" si="31"/>
        <v>1500000</v>
      </c>
      <c r="J243" s="4" t="s">
        <v>250</v>
      </c>
    </row>
    <row r="244" spans="1:10" ht="24">
      <c r="A244" s="312"/>
      <c r="B244" s="330"/>
      <c r="C244" s="30" t="s">
        <v>304</v>
      </c>
      <c r="D244" s="15">
        <v>14500</v>
      </c>
      <c r="E244" s="15">
        <v>10000</v>
      </c>
      <c r="F244" s="15">
        <v>10000</v>
      </c>
      <c r="G244" s="15">
        <v>10000</v>
      </c>
      <c r="H244" s="15">
        <v>10000</v>
      </c>
      <c r="I244" s="15">
        <f t="shared" si="31"/>
        <v>54500</v>
      </c>
      <c r="J244" s="4" t="s">
        <v>50</v>
      </c>
    </row>
    <row r="245" spans="1:10" ht="24">
      <c r="A245" s="312"/>
      <c r="B245" s="330"/>
      <c r="C245" s="30" t="s">
        <v>305</v>
      </c>
      <c r="D245" s="15">
        <v>500</v>
      </c>
      <c r="E245" s="15">
        <v>2000</v>
      </c>
      <c r="F245" s="15">
        <v>2000</v>
      </c>
      <c r="G245" s="15">
        <v>2000</v>
      </c>
      <c r="H245" s="15">
        <v>2000</v>
      </c>
      <c r="I245" s="15">
        <f t="shared" si="31"/>
        <v>8500</v>
      </c>
      <c r="J245" s="4" t="s">
        <v>50</v>
      </c>
    </row>
    <row r="246" spans="1:10" ht="24">
      <c r="A246" s="312"/>
      <c r="B246" s="330"/>
      <c r="C246" s="30" t="s">
        <v>46</v>
      </c>
      <c r="D246" s="15">
        <v>1000000</v>
      </c>
      <c r="E246" s="15">
        <v>1000000</v>
      </c>
      <c r="F246" s="15">
        <v>1000000</v>
      </c>
      <c r="G246" s="15">
        <v>1000000</v>
      </c>
      <c r="H246" s="15">
        <v>1000000</v>
      </c>
      <c r="I246" s="15">
        <f t="shared" si="31"/>
        <v>5000000</v>
      </c>
      <c r="J246" s="4" t="s">
        <v>123</v>
      </c>
    </row>
    <row r="247" spans="1:10" ht="24">
      <c r="A247" s="312"/>
      <c r="B247" s="330"/>
      <c r="C247" s="30" t="s">
        <v>93</v>
      </c>
      <c r="D247" s="15">
        <v>20000</v>
      </c>
      <c r="E247" s="15">
        <v>20000</v>
      </c>
      <c r="F247" s="15">
        <v>20000</v>
      </c>
      <c r="G247" s="15">
        <v>20000</v>
      </c>
      <c r="H247" s="15">
        <v>20000</v>
      </c>
      <c r="I247" s="15">
        <f t="shared" si="31"/>
        <v>100000</v>
      </c>
      <c r="J247" s="4" t="s">
        <v>123</v>
      </c>
    </row>
    <row r="248" spans="1:10" ht="24">
      <c r="A248" s="312"/>
      <c r="B248" s="330"/>
      <c r="C248" s="27" t="s">
        <v>157</v>
      </c>
      <c r="D248" s="15">
        <f>459764+36</f>
        <v>459800</v>
      </c>
      <c r="E248" s="15">
        <f>459764+36</f>
        <v>459800</v>
      </c>
      <c r="F248" s="15">
        <v>500000</v>
      </c>
      <c r="G248" s="15">
        <v>500000</v>
      </c>
      <c r="H248" s="15">
        <v>500000</v>
      </c>
      <c r="I248" s="15">
        <f t="shared" si="31"/>
        <v>2419600</v>
      </c>
      <c r="J248" s="4" t="s">
        <v>75</v>
      </c>
    </row>
    <row r="249" spans="1:10" ht="48">
      <c r="A249" s="312"/>
      <c r="B249" s="330"/>
      <c r="C249" s="27" t="s">
        <v>158</v>
      </c>
      <c r="D249" s="15">
        <f>2020750+50</f>
        <v>2020800</v>
      </c>
      <c r="E249" s="15">
        <f>2020750+50</f>
        <v>2020800</v>
      </c>
      <c r="F249" s="15">
        <v>2000000</v>
      </c>
      <c r="G249" s="15">
        <v>2000000</v>
      </c>
      <c r="H249" s="15">
        <v>2000000</v>
      </c>
      <c r="I249" s="15">
        <f t="shared" si="31"/>
        <v>10041600</v>
      </c>
      <c r="J249" s="4" t="s">
        <v>75</v>
      </c>
    </row>
    <row r="250" spans="1:10" ht="24">
      <c r="A250" s="312"/>
      <c r="B250" s="330"/>
      <c r="C250" s="27" t="s">
        <v>334</v>
      </c>
      <c r="D250" s="15">
        <v>9501000</v>
      </c>
      <c r="E250" s="15">
        <v>9501000</v>
      </c>
      <c r="F250" s="15">
        <v>9501000</v>
      </c>
      <c r="G250" s="15">
        <v>9501000</v>
      </c>
      <c r="H250" s="15">
        <v>9501000</v>
      </c>
      <c r="I250" s="15">
        <f t="shared" si="31"/>
        <v>47505000</v>
      </c>
      <c r="J250" s="4" t="s">
        <v>21</v>
      </c>
    </row>
    <row r="251" spans="1:10" ht="24">
      <c r="A251" s="312"/>
      <c r="B251" s="330"/>
      <c r="C251" s="27" t="s">
        <v>102</v>
      </c>
      <c r="D251" s="15">
        <v>4223000</v>
      </c>
      <c r="E251" s="15">
        <v>4435000</v>
      </c>
      <c r="F251" s="15">
        <f>4656750+50</f>
        <v>4656800</v>
      </c>
      <c r="G251" s="15">
        <v>4889600</v>
      </c>
      <c r="H251" s="15">
        <v>5134100</v>
      </c>
      <c r="I251" s="15">
        <f t="shared" si="31"/>
        <v>23338500</v>
      </c>
      <c r="J251" s="4" t="s">
        <v>97</v>
      </c>
    </row>
    <row r="252" spans="1:10" ht="48">
      <c r="A252" s="312"/>
      <c r="B252" s="335"/>
      <c r="C252" s="100" t="s">
        <v>351</v>
      </c>
      <c r="D252" s="119">
        <v>0</v>
      </c>
      <c r="E252" s="119">
        <v>30000</v>
      </c>
      <c r="F252" s="119">
        <v>30000</v>
      </c>
      <c r="G252" s="119">
        <v>30000</v>
      </c>
      <c r="H252" s="119">
        <v>30000</v>
      </c>
      <c r="I252" s="119">
        <f t="shared" si="31"/>
        <v>120000</v>
      </c>
      <c r="J252" s="123" t="s">
        <v>14</v>
      </c>
    </row>
    <row r="253" spans="1:10" s="18" customFormat="1" ht="24">
      <c r="A253" s="312"/>
      <c r="B253" s="331" t="s">
        <v>264</v>
      </c>
      <c r="C253" s="95"/>
      <c r="D253" s="96">
        <f>SUM(D254:D259)</f>
        <v>983600</v>
      </c>
      <c r="E253" s="96">
        <f>SUM(E254:E259)</f>
        <v>1188500</v>
      </c>
      <c r="F253" s="96">
        <f>SUM(F254:F259)</f>
        <v>1389000</v>
      </c>
      <c r="G253" s="96">
        <f>SUM(G254:G259)</f>
        <v>1589600</v>
      </c>
      <c r="H253" s="96">
        <f>SUM(H254:H259)</f>
        <v>1790200</v>
      </c>
      <c r="I253" s="96">
        <f t="shared" si="31"/>
        <v>6940900</v>
      </c>
      <c r="J253" s="26"/>
    </row>
    <row r="254" spans="1:10" ht="24">
      <c r="A254" s="312"/>
      <c r="B254" s="332"/>
      <c r="C254" s="86" t="s">
        <v>159</v>
      </c>
      <c r="D254" s="15">
        <v>10000</v>
      </c>
      <c r="E254" s="15">
        <f>D254*5%+D254</f>
        <v>10500</v>
      </c>
      <c r="F254" s="15">
        <f>ROUND(E254*5%+E254,-2)</f>
        <v>11000</v>
      </c>
      <c r="G254" s="15">
        <f t="shared" ref="G254:H254" si="34">ROUND(F254*5%+F254,-2)</f>
        <v>11600</v>
      </c>
      <c r="H254" s="15">
        <f t="shared" si="34"/>
        <v>12200</v>
      </c>
      <c r="I254" s="15">
        <f t="shared" si="31"/>
        <v>55300</v>
      </c>
      <c r="J254" s="4" t="s">
        <v>79</v>
      </c>
    </row>
    <row r="255" spans="1:10" ht="24">
      <c r="A255" s="312"/>
      <c r="B255" s="332"/>
      <c r="C255" s="33" t="s">
        <v>159</v>
      </c>
      <c r="D255" s="15">
        <v>20000</v>
      </c>
      <c r="E255" s="15">
        <v>20000</v>
      </c>
      <c r="F255" s="15">
        <v>20000</v>
      </c>
      <c r="G255" s="15">
        <v>20000</v>
      </c>
      <c r="H255" s="15">
        <v>20000</v>
      </c>
      <c r="I255" s="15">
        <f t="shared" si="31"/>
        <v>100000</v>
      </c>
      <c r="J255" s="4" t="s">
        <v>110</v>
      </c>
    </row>
    <row r="256" spans="1:10" ht="48">
      <c r="A256" s="312"/>
      <c r="B256" s="332"/>
      <c r="C256" s="83" t="s">
        <v>258</v>
      </c>
      <c r="D256" s="33">
        <v>740000</v>
      </c>
      <c r="E256" s="33">
        <v>740000</v>
      </c>
      <c r="F256" s="33">
        <v>740000</v>
      </c>
      <c r="G256" s="33">
        <v>740000</v>
      </c>
      <c r="H256" s="33">
        <v>740000</v>
      </c>
      <c r="I256" s="33">
        <f t="shared" si="31"/>
        <v>3700000</v>
      </c>
      <c r="J256" s="4" t="s">
        <v>58</v>
      </c>
    </row>
    <row r="257" spans="1:10" ht="24">
      <c r="A257" s="312"/>
      <c r="B257" s="332"/>
      <c r="C257" s="86" t="s">
        <v>159</v>
      </c>
      <c r="D257" s="118">
        <v>5600</v>
      </c>
      <c r="E257" s="118">
        <v>10000</v>
      </c>
      <c r="F257" s="118">
        <v>10000</v>
      </c>
      <c r="G257" s="118">
        <v>10000</v>
      </c>
      <c r="H257" s="118">
        <v>10000</v>
      </c>
      <c r="I257" s="118">
        <f t="shared" si="31"/>
        <v>45600</v>
      </c>
      <c r="J257" s="4" t="s">
        <v>50</v>
      </c>
    </row>
    <row r="258" spans="1:10" ht="24">
      <c r="A258" s="312"/>
      <c r="B258" s="332"/>
      <c r="C258" s="58" t="s">
        <v>23</v>
      </c>
      <c r="D258" s="118">
        <v>8000</v>
      </c>
      <c r="E258" s="118">
        <v>8000</v>
      </c>
      <c r="F258" s="118">
        <v>8000</v>
      </c>
      <c r="G258" s="118">
        <v>8000</v>
      </c>
      <c r="H258" s="118">
        <v>8000</v>
      </c>
      <c r="I258" s="118">
        <f t="shared" si="31"/>
        <v>40000</v>
      </c>
      <c r="J258" s="4" t="s">
        <v>21</v>
      </c>
    </row>
    <row r="259" spans="1:10" s="40" customFormat="1" ht="24">
      <c r="A259" s="312"/>
      <c r="B259" s="332"/>
      <c r="C259" s="28" t="s">
        <v>91</v>
      </c>
      <c r="D259" s="118">
        <v>200000</v>
      </c>
      <c r="E259" s="118">
        <v>400000</v>
      </c>
      <c r="F259" s="118">
        <v>600000</v>
      </c>
      <c r="G259" s="118">
        <v>800000</v>
      </c>
      <c r="H259" s="118">
        <v>1000000</v>
      </c>
      <c r="I259" s="118">
        <f t="shared" si="31"/>
        <v>3000000</v>
      </c>
      <c r="J259" s="4" t="s">
        <v>123</v>
      </c>
    </row>
    <row r="260" spans="1:10" s="28" customFormat="1" ht="24.75" thickBot="1">
      <c r="A260" s="306"/>
      <c r="B260" s="333"/>
      <c r="C260" s="89" t="s">
        <v>159</v>
      </c>
      <c r="D260" s="119">
        <v>0</v>
      </c>
      <c r="E260" s="119">
        <v>90000</v>
      </c>
      <c r="F260" s="119">
        <v>90000</v>
      </c>
      <c r="G260" s="119">
        <v>90000</v>
      </c>
      <c r="H260" s="119">
        <v>90000</v>
      </c>
      <c r="I260" s="119">
        <f t="shared" si="31"/>
        <v>360000</v>
      </c>
      <c r="J260" s="90" t="s">
        <v>14</v>
      </c>
    </row>
    <row r="261" spans="1:10" s="23" customFormat="1" ht="28.5" thickBot="1">
      <c r="A261" s="105"/>
      <c r="B261" s="106"/>
      <c r="C261" s="107" t="s">
        <v>174</v>
      </c>
      <c r="D261" s="109">
        <f>SUM(D253,D242,D229)</f>
        <v>49106800</v>
      </c>
      <c r="E261" s="109">
        <f>SUM(E253,E242,E229)</f>
        <v>51406200</v>
      </c>
      <c r="F261" s="109">
        <f>SUM(F253,F242,F229)</f>
        <v>53649900</v>
      </c>
      <c r="G261" s="109">
        <f>SUM(G253,G242,G229)</f>
        <v>55948900</v>
      </c>
      <c r="H261" s="109">
        <f>SUM(H253,H242,H229)</f>
        <v>58172300</v>
      </c>
      <c r="I261" s="110">
        <f t="shared" ref="I261:I262" si="35">SUM(D261:H261)</f>
        <v>268284100</v>
      </c>
      <c r="J261" s="108"/>
    </row>
    <row r="262" spans="1:10" s="23" customFormat="1" ht="28.5" thickBot="1">
      <c r="A262" s="105"/>
      <c r="B262" s="106"/>
      <c r="C262" s="107" t="s">
        <v>377</v>
      </c>
      <c r="D262" s="109">
        <f>SUM(D261,D228,D183,D160,D123,D94,D81)</f>
        <v>1424666990</v>
      </c>
      <c r="E262" s="109">
        <f>SUM(E261,E228,E183,E160,E123,E94,E81)</f>
        <v>1638146000</v>
      </c>
      <c r="F262" s="109">
        <f>SUM(F261,F228,F183,F160,F123,F94,F81)</f>
        <v>1756009409.5</v>
      </c>
      <c r="G262" s="109">
        <f>SUM(G261,G228,G183,G160,G123,G94,G81)</f>
        <v>1647370370.5</v>
      </c>
      <c r="H262" s="109">
        <f>SUM(H261,H228,H183,H160,H123,H94,H81)</f>
        <v>2110250298.0999999</v>
      </c>
      <c r="I262" s="110">
        <f t="shared" si="35"/>
        <v>8576443068.1000004</v>
      </c>
      <c r="J262" s="108"/>
    </row>
  </sheetData>
  <autoFilter ref="J1:J262">
    <filterColumn colId="0"/>
  </autoFilter>
  <mergeCells count="33">
    <mergeCell ref="B5:B12"/>
    <mergeCell ref="B13:B21"/>
    <mergeCell ref="D3:H3"/>
    <mergeCell ref="J3:J4"/>
    <mergeCell ref="A3:A4"/>
    <mergeCell ref="B3:B4"/>
    <mergeCell ref="C3:C4"/>
    <mergeCell ref="A5:A67"/>
    <mergeCell ref="I3:I4"/>
    <mergeCell ref="B36:B67"/>
    <mergeCell ref="B22:B35"/>
    <mergeCell ref="A82:A93"/>
    <mergeCell ref="A124:A159"/>
    <mergeCell ref="B178:B182"/>
    <mergeCell ref="B140:B146"/>
    <mergeCell ref="B147:B150"/>
    <mergeCell ref="B151:B156"/>
    <mergeCell ref="B157:B159"/>
    <mergeCell ref="B161:B177"/>
    <mergeCell ref="B109:B116"/>
    <mergeCell ref="B124:B139"/>
    <mergeCell ref="B95:B108"/>
    <mergeCell ref="B82:B93"/>
    <mergeCell ref="A95:A122"/>
    <mergeCell ref="B117:B122"/>
    <mergeCell ref="A161:A182"/>
    <mergeCell ref="A184:A227"/>
    <mergeCell ref="A229:A260"/>
    <mergeCell ref="B215:B227"/>
    <mergeCell ref="B253:B260"/>
    <mergeCell ref="B242:B252"/>
    <mergeCell ref="B229:B241"/>
    <mergeCell ref="B184:B214"/>
  </mergeCells>
  <printOptions horizontalCentered="1"/>
  <pageMargins left="0.15748031496062992" right="0.19685039370078741" top="0.74803149606299213" bottom="0.74803149606299213" header="0.31496062992125984" footer="0.31496062992125984"/>
  <pageSetup paperSize="5" scale="90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G19"/>
  <sheetViews>
    <sheetView workbookViewId="0">
      <selection activeCell="A2" sqref="A2:G19"/>
    </sheetView>
  </sheetViews>
  <sheetFormatPr defaultRowHeight="24"/>
  <cols>
    <col min="1" max="1" width="17.375" style="8" customWidth="1"/>
    <col min="2" max="7" width="18.5" style="8" customWidth="1"/>
    <col min="8" max="16384" width="9" style="8"/>
  </cols>
  <sheetData>
    <row r="2" spans="1:7" ht="27.75">
      <c r="A2" s="201" t="s">
        <v>399</v>
      </c>
    </row>
    <row r="3" spans="1:7">
      <c r="A3" s="355" t="s">
        <v>394</v>
      </c>
      <c r="B3" s="356" t="s">
        <v>395</v>
      </c>
      <c r="C3" s="356"/>
      <c r="D3" s="356"/>
      <c r="E3" s="356"/>
      <c r="F3" s="356"/>
      <c r="G3" s="356"/>
    </row>
    <row r="4" spans="1:7">
      <c r="A4" s="355"/>
      <c r="B4" s="200">
        <v>2555</v>
      </c>
      <c r="C4" s="200">
        <v>2556</v>
      </c>
      <c r="D4" s="200">
        <v>2557</v>
      </c>
      <c r="E4" s="200">
        <v>2558</v>
      </c>
      <c r="F4" s="200">
        <v>2559</v>
      </c>
      <c r="G4" s="200" t="s">
        <v>353</v>
      </c>
    </row>
    <row r="5" spans="1:7">
      <c r="A5" s="205" t="s">
        <v>110</v>
      </c>
      <c r="B5" s="197">
        <v>59946900</v>
      </c>
      <c r="C5" s="197">
        <v>134771100</v>
      </c>
      <c r="D5" s="197">
        <v>92716000</v>
      </c>
      <c r="E5" s="197">
        <v>97231000</v>
      </c>
      <c r="F5" s="197">
        <v>112698200</v>
      </c>
      <c r="G5" s="197">
        <v>497363200</v>
      </c>
    </row>
    <row r="6" spans="1:7">
      <c r="A6" s="65" t="s">
        <v>79</v>
      </c>
      <c r="B6" s="198">
        <v>15798400</v>
      </c>
      <c r="C6" s="199">
        <v>16588400</v>
      </c>
      <c r="D6" s="199">
        <v>17417900</v>
      </c>
      <c r="E6" s="199">
        <v>18288900</v>
      </c>
      <c r="F6" s="199">
        <v>19203300</v>
      </c>
      <c r="G6" s="199">
        <v>87296900</v>
      </c>
    </row>
    <row r="7" spans="1:7">
      <c r="A7" s="65" t="s">
        <v>76</v>
      </c>
      <c r="B7" s="198">
        <v>58658400</v>
      </c>
      <c r="C7" s="199">
        <v>64524100</v>
      </c>
      <c r="D7" s="199">
        <v>70976500</v>
      </c>
      <c r="E7" s="199">
        <v>78074200</v>
      </c>
      <c r="F7" s="199">
        <v>85881600</v>
      </c>
      <c r="G7" s="199">
        <v>358114800</v>
      </c>
    </row>
    <row r="8" spans="1:7">
      <c r="A8" s="65" t="s">
        <v>50</v>
      </c>
      <c r="B8" s="199">
        <v>13503800</v>
      </c>
      <c r="C8" s="198">
        <v>17323900</v>
      </c>
      <c r="D8" s="198">
        <v>19364300</v>
      </c>
      <c r="E8" s="198">
        <v>21172800</v>
      </c>
      <c r="F8" s="198">
        <v>22936000</v>
      </c>
      <c r="G8" s="199">
        <v>94300800</v>
      </c>
    </row>
    <row r="9" spans="1:7">
      <c r="A9" s="65" t="s">
        <v>21</v>
      </c>
      <c r="B9" s="199">
        <v>71805000</v>
      </c>
      <c r="C9" s="198">
        <v>71465000</v>
      </c>
      <c r="D9" s="198">
        <v>71415000</v>
      </c>
      <c r="E9" s="198">
        <v>71015000</v>
      </c>
      <c r="F9" s="198">
        <v>71835000</v>
      </c>
      <c r="G9" s="198">
        <v>357535000</v>
      </c>
    </row>
    <row r="10" spans="1:7">
      <c r="A10" s="65" t="s">
        <v>58</v>
      </c>
      <c r="B10" s="199">
        <v>22464700</v>
      </c>
      <c r="C10" s="199">
        <v>22464700</v>
      </c>
      <c r="D10" s="199">
        <v>22804800</v>
      </c>
      <c r="E10" s="199">
        <v>23340000</v>
      </c>
      <c r="F10" s="199">
        <v>23827200</v>
      </c>
      <c r="G10" s="199">
        <v>114901400</v>
      </c>
    </row>
    <row r="11" spans="1:7">
      <c r="A11" s="65" t="s">
        <v>56</v>
      </c>
      <c r="B11" s="199">
        <v>71402700</v>
      </c>
      <c r="C11" s="199">
        <v>74900000</v>
      </c>
      <c r="D11" s="199">
        <v>78400000</v>
      </c>
      <c r="E11" s="199">
        <v>82900000</v>
      </c>
      <c r="F11" s="199">
        <v>87400000</v>
      </c>
      <c r="G11" s="199">
        <v>395002700</v>
      </c>
    </row>
    <row r="12" spans="1:7">
      <c r="A12" s="65" t="s">
        <v>94</v>
      </c>
      <c r="B12" s="199">
        <v>91250000</v>
      </c>
      <c r="C12" s="199">
        <v>95500000</v>
      </c>
      <c r="D12" s="199">
        <v>100700000</v>
      </c>
      <c r="E12" s="199">
        <v>104950000</v>
      </c>
      <c r="F12" s="199">
        <v>110150000</v>
      </c>
      <c r="G12" s="199">
        <v>502550000</v>
      </c>
    </row>
    <row r="13" spans="1:7">
      <c r="A13" s="65" t="s">
        <v>123</v>
      </c>
      <c r="B13" s="199">
        <v>18740000</v>
      </c>
      <c r="C13" s="199">
        <v>10905000</v>
      </c>
      <c r="D13" s="199">
        <v>12090300</v>
      </c>
      <c r="E13" s="199">
        <v>13298800</v>
      </c>
      <c r="F13" s="199">
        <v>14534100</v>
      </c>
      <c r="G13" s="199">
        <v>69568200</v>
      </c>
    </row>
    <row r="14" spans="1:7">
      <c r="A14" s="65" t="s">
        <v>14</v>
      </c>
      <c r="B14" s="199">
        <v>7702900</v>
      </c>
      <c r="C14" s="199">
        <v>8450000</v>
      </c>
      <c r="D14" s="199">
        <v>9440000</v>
      </c>
      <c r="E14" s="199">
        <v>10520000</v>
      </c>
      <c r="F14" s="199">
        <v>11510000</v>
      </c>
      <c r="G14" s="199">
        <v>47622900</v>
      </c>
    </row>
    <row r="15" spans="1:7">
      <c r="A15" s="65" t="s">
        <v>250</v>
      </c>
      <c r="B15" s="199">
        <v>407471400</v>
      </c>
      <c r="C15" s="199">
        <v>472925200</v>
      </c>
      <c r="D15" s="199">
        <v>549980000</v>
      </c>
      <c r="E15" s="199">
        <v>347471400</v>
      </c>
      <c r="F15" s="199">
        <v>695791500</v>
      </c>
      <c r="G15" s="199">
        <v>2473639500</v>
      </c>
    </row>
    <row r="16" spans="1:7">
      <c r="A16" s="65" t="s">
        <v>381</v>
      </c>
      <c r="B16" s="199">
        <v>695604900</v>
      </c>
      <c r="C16" s="199">
        <v>772893300</v>
      </c>
      <c r="D16" s="199">
        <v>850181800</v>
      </c>
      <c r="E16" s="199">
        <v>935199100</v>
      </c>
      <c r="F16" s="199">
        <v>1028718000</v>
      </c>
      <c r="G16" s="199">
        <v>4282597100</v>
      </c>
    </row>
    <row r="17" spans="1:7">
      <c r="A17" s="65" t="s">
        <v>75</v>
      </c>
      <c r="B17" s="199">
        <v>12722100</v>
      </c>
      <c r="C17" s="199">
        <v>12722100</v>
      </c>
      <c r="D17" s="199">
        <v>12865000</v>
      </c>
      <c r="E17" s="199">
        <v>12865000</v>
      </c>
      <c r="F17" s="199">
        <v>12865000</v>
      </c>
      <c r="G17" s="199">
        <v>64039200</v>
      </c>
    </row>
    <row r="18" spans="1:7">
      <c r="A18" s="206" t="s">
        <v>97</v>
      </c>
      <c r="B18" s="204">
        <v>24329900</v>
      </c>
      <c r="C18" s="204">
        <v>25641300</v>
      </c>
      <c r="D18" s="204">
        <v>27023000</v>
      </c>
      <c r="E18" s="204">
        <v>28481000</v>
      </c>
      <c r="F18" s="204">
        <v>30017900</v>
      </c>
      <c r="G18" s="204">
        <v>135493100</v>
      </c>
    </row>
    <row r="19" spans="1:7">
      <c r="A19" s="202" t="s">
        <v>354</v>
      </c>
      <c r="B19" s="203">
        <v>1571401100</v>
      </c>
      <c r="C19" s="203">
        <v>1801074100</v>
      </c>
      <c r="D19" s="203">
        <v>1935374600</v>
      </c>
      <c r="E19" s="203">
        <v>1844807200</v>
      </c>
      <c r="F19" s="203">
        <v>2327367800</v>
      </c>
      <c r="G19" s="203">
        <v>9480024800</v>
      </c>
    </row>
  </sheetData>
  <mergeCells count="2">
    <mergeCell ref="A3:A4"/>
    <mergeCell ref="B3:G3"/>
  </mergeCells>
  <printOptions horizontalCentered="1"/>
  <pageMargins left="0.39370078740157483" right="0.27559055118110237" top="0.51181102362204722" bottom="0.43307086614173229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G19"/>
  <sheetViews>
    <sheetView workbookViewId="0">
      <selection activeCell="C19" sqref="C19"/>
    </sheetView>
  </sheetViews>
  <sheetFormatPr defaultRowHeight="14.25"/>
  <cols>
    <col min="1" max="1" width="21.625" bestFit="1" customWidth="1"/>
    <col min="2" max="7" width="17.125" bestFit="1" customWidth="1"/>
  </cols>
  <sheetData>
    <row r="3" spans="1:7">
      <c r="B3" s="163" t="s">
        <v>385</v>
      </c>
    </row>
    <row r="4" spans="1:7">
      <c r="A4" s="163" t="s">
        <v>245</v>
      </c>
      <c r="B4" t="s">
        <v>386</v>
      </c>
      <c r="C4" t="s">
        <v>384</v>
      </c>
      <c r="D4" t="s">
        <v>387</v>
      </c>
      <c r="E4" t="s">
        <v>388</v>
      </c>
      <c r="F4" t="s">
        <v>389</v>
      </c>
      <c r="G4" t="s">
        <v>355</v>
      </c>
    </row>
    <row r="5" spans="1:7">
      <c r="A5" t="s">
        <v>110</v>
      </c>
      <c r="B5" s="165">
        <v>59946900</v>
      </c>
      <c r="C5" s="165">
        <v>134771100</v>
      </c>
      <c r="D5" s="165">
        <v>92716000</v>
      </c>
      <c r="E5" s="165">
        <v>97231000</v>
      </c>
      <c r="F5" s="165">
        <v>112698200</v>
      </c>
      <c r="G5" s="165">
        <v>497363200</v>
      </c>
    </row>
    <row r="6" spans="1:7">
      <c r="A6" t="s">
        <v>79</v>
      </c>
      <c r="B6" s="165">
        <v>15798400</v>
      </c>
      <c r="C6" s="195">
        <v>16588400</v>
      </c>
      <c r="D6" s="195">
        <v>17417900</v>
      </c>
      <c r="E6" s="195">
        <v>18288900</v>
      </c>
      <c r="F6" s="195">
        <v>19203300</v>
      </c>
      <c r="G6" s="195">
        <v>87296900</v>
      </c>
    </row>
    <row r="7" spans="1:7">
      <c r="A7" t="s">
        <v>76</v>
      </c>
      <c r="B7" s="165">
        <v>58658400</v>
      </c>
      <c r="C7" s="195">
        <v>64524100</v>
      </c>
      <c r="D7" s="195">
        <v>70976500</v>
      </c>
      <c r="E7" s="195">
        <v>78074200</v>
      </c>
      <c r="F7" s="195">
        <v>85881600</v>
      </c>
      <c r="G7" s="195">
        <v>358114800</v>
      </c>
    </row>
    <row r="8" spans="1:7">
      <c r="A8" t="s">
        <v>50</v>
      </c>
      <c r="B8" s="195">
        <v>13503800</v>
      </c>
      <c r="C8" s="165">
        <v>17323900</v>
      </c>
      <c r="D8" s="165">
        <v>19364300</v>
      </c>
      <c r="E8" s="165">
        <v>21172800</v>
      </c>
      <c r="F8" s="165">
        <v>22936000</v>
      </c>
      <c r="G8" s="195">
        <v>94300800</v>
      </c>
    </row>
    <row r="9" spans="1:7">
      <c r="A9" t="s">
        <v>21</v>
      </c>
      <c r="B9" s="195">
        <v>71805000</v>
      </c>
      <c r="C9" s="165">
        <v>71465000</v>
      </c>
      <c r="D9" s="165">
        <v>71415000</v>
      </c>
      <c r="E9" s="165">
        <v>71015000</v>
      </c>
      <c r="F9" s="165">
        <v>71835000</v>
      </c>
      <c r="G9" s="165">
        <v>357535000</v>
      </c>
    </row>
    <row r="10" spans="1:7">
      <c r="A10" t="s">
        <v>58</v>
      </c>
      <c r="B10" s="195">
        <v>22464700</v>
      </c>
      <c r="C10" s="195">
        <v>22464700</v>
      </c>
      <c r="D10" s="195">
        <v>22804800</v>
      </c>
      <c r="E10" s="195">
        <v>23340000</v>
      </c>
      <c r="F10" s="195">
        <v>23827200</v>
      </c>
      <c r="G10" s="195">
        <v>114901400</v>
      </c>
    </row>
    <row r="11" spans="1:7">
      <c r="A11" t="s">
        <v>56</v>
      </c>
      <c r="B11" s="195">
        <v>71402700</v>
      </c>
      <c r="C11" s="195">
        <v>74900000</v>
      </c>
      <c r="D11" s="195">
        <v>78400000</v>
      </c>
      <c r="E11" s="195">
        <v>82900000</v>
      </c>
      <c r="F11" s="195">
        <v>87400000</v>
      </c>
      <c r="G11" s="195">
        <v>395002700</v>
      </c>
    </row>
    <row r="12" spans="1:7">
      <c r="A12" t="s">
        <v>94</v>
      </c>
      <c r="B12" s="195">
        <v>91250000</v>
      </c>
      <c r="C12" s="195">
        <v>95500000</v>
      </c>
      <c r="D12" s="195">
        <v>100700000</v>
      </c>
      <c r="E12" s="195">
        <v>104950000</v>
      </c>
      <c r="F12" s="195">
        <v>110150000</v>
      </c>
      <c r="G12" s="195">
        <v>502550000</v>
      </c>
    </row>
    <row r="13" spans="1:7">
      <c r="A13" t="s">
        <v>123</v>
      </c>
      <c r="B13" s="195">
        <v>18740000</v>
      </c>
      <c r="C13" s="195">
        <v>10905000</v>
      </c>
      <c r="D13" s="195">
        <v>12090300</v>
      </c>
      <c r="E13" s="195">
        <v>13298800</v>
      </c>
      <c r="F13" s="195">
        <v>14534100</v>
      </c>
      <c r="G13" s="195">
        <v>69568200</v>
      </c>
    </row>
    <row r="14" spans="1:7">
      <c r="A14" t="s">
        <v>14</v>
      </c>
      <c r="B14" s="195">
        <v>7702900</v>
      </c>
      <c r="C14" s="195">
        <v>8450000</v>
      </c>
      <c r="D14" s="195">
        <v>9440000</v>
      </c>
      <c r="E14" s="195">
        <v>10520000</v>
      </c>
      <c r="F14" s="195">
        <v>11510000</v>
      </c>
      <c r="G14" s="195">
        <v>47622900</v>
      </c>
    </row>
    <row r="15" spans="1:7">
      <c r="A15" t="s">
        <v>250</v>
      </c>
      <c r="B15" s="195">
        <v>407471400</v>
      </c>
      <c r="C15" s="195">
        <v>472925200</v>
      </c>
      <c r="D15" s="195">
        <v>549980000</v>
      </c>
      <c r="E15" s="195">
        <v>347471400</v>
      </c>
      <c r="F15" s="195">
        <v>695791500</v>
      </c>
      <c r="G15" s="195">
        <v>2473639500</v>
      </c>
    </row>
    <row r="16" spans="1:7">
      <c r="A16" t="s">
        <v>381</v>
      </c>
      <c r="B16" s="195">
        <v>695604900</v>
      </c>
      <c r="C16" s="195">
        <v>772893300</v>
      </c>
      <c r="D16" s="195">
        <v>850181800</v>
      </c>
      <c r="E16" s="195">
        <v>935199100</v>
      </c>
      <c r="F16" s="195">
        <v>1028718000</v>
      </c>
      <c r="G16" s="195">
        <v>4282597100</v>
      </c>
    </row>
    <row r="17" spans="1:7">
      <c r="A17" t="s">
        <v>75</v>
      </c>
      <c r="B17" s="195">
        <v>12722100</v>
      </c>
      <c r="C17" s="195">
        <v>12722100</v>
      </c>
      <c r="D17" s="195">
        <v>12865000</v>
      </c>
      <c r="E17" s="195">
        <v>12865000</v>
      </c>
      <c r="F17" s="195">
        <v>12865000</v>
      </c>
      <c r="G17" s="195">
        <v>64039200</v>
      </c>
    </row>
    <row r="18" spans="1:7">
      <c r="A18" t="s">
        <v>97</v>
      </c>
      <c r="B18" s="195">
        <v>24329900</v>
      </c>
      <c r="C18" s="195">
        <v>25641300</v>
      </c>
      <c r="D18" s="195">
        <v>27023000</v>
      </c>
      <c r="E18" s="195">
        <v>28481000</v>
      </c>
      <c r="F18" s="195">
        <v>30017900</v>
      </c>
      <c r="G18" s="195">
        <v>135493100</v>
      </c>
    </row>
    <row r="19" spans="1:7">
      <c r="A19" t="s">
        <v>354</v>
      </c>
      <c r="B19" s="165">
        <v>1571401100</v>
      </c>
      <c r="C19" s="165">
        <v>1801074100</v>
      </c>
      <c r="D19" s="165">
        <v>1935374600</v>
      </c>
      <c r="E19" s="165">
        <v>1844807200</v>
      </c>
      <c r="F19" s="165">
        <v>2327367800</v>
      </c>
      <c r="G19" s="165">
        <v>9480024800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4"/>
  <sheetViews>
    <sheetView topLeftCell="C1" workbookViewId="0">
      <selection sqref="A1:H24"/>
    </sheetView>
  </sheetViews>
  <sheetFormatPr defaultRowHeight="24"/>
  <cols>
    <col min="1" max="1" width="9" style="8"/>
    <col min="2" max="2" width="28.875" style="216" customWidth="1"/>
    <col min="3" max="7" width="16.75" style="8" customWidth="1"/>
    <col min="8" max="8" width="25.875" style="8" customWidth="1"/>
    <col min="9" max="16384" width="9" style="8"/>
  </cols>
  <sheetData>
    <row r="1" spans="1:8" s="196" customFormat="1" ht="27.75">
      <c r="A1" s="361" t="s">
        <v>400</v>
      </c>
      <c r="B1" s="362"/>
      <c r="C1" s="362"/>
      <c r="D1" s="362"/>
      <c r="E1" s="362"/>
      <c r="F1" s="362"/>
      <c r="G1" s="362"/>
      <c r="H1" s="362"/>
    </row>
    <row r="2" spans="1:8" s="196" customFormat="1" ht="27.75">
      <c r="A2" s="357" t="s">
        <v>396</v>
      </c>
      <c r="B2" s="359" t="s">
        <v>397</v>
      </c>
      <c r="C2" s="358" t="s">
        <v>395</v>
      </c>
      <c r="D2" s="358"/>
      <c r="E2" s="358"/>
      <c r="F2" s="358"/>
      <c r="G2" s="358"/>
      <c r="H2" s="358"/>
    </row>
    <row r="3" spans="1:8" s="196" customFormat="1" ht="27.75">
      <c r="A3" s="357"/>
      <c r="B3" s="360"/>
      <c r="C3" s="208">
        <v>2555</v>
      </c>
      <c r="D3" s="208">
        <v>2556</v>
      </c>
      <c r="E3" s="208">
        <v>2557</v>
      </c>
      <c r="F3" s="208">
        <v>2558</v>
      </c>
      <c r="G3" s="208">
        <v>2559</v>
      </c>
      <c r="H3" s="208" t="s">
        <v>353</v>
      </c>
    </row>
    <row r="4" spans="1:8" ht="48">
      <c r="A4" s="209">
        <v>1</v>
      </c>
      <c r="B4" s="215" t="s">
        <v>15</v>
      </c>
      <c r="C4" s="210">
        <v>526779700</v>
      </c>
      <c r="D4" s="210">
        <v>642916200</v>
      </c>
      <c r="E4" s="210">
        <v>650669700</v>
      </c>
      <c r="F4" s="210">
        <v>710827000</v>
      </c>
      <c r="G4" s="210">
        <v>787000900</v>
      </c>
      <c r="H4" s="210">
        <v>3318193500</v>
      </c>
    </row>
    <row r="5" spans="1:8" ht="48">
      <c r="A5" s="211">
        <v>2</v>
      </c>
      <c r="B5" s="55" t="s">
        <v>175</v>
      </c>
      <c r="C5" s="212">
        <v>469783500</v>
      </c>
      <c r="D5" s="212">
        <v>534220500</v>
      </c>
      <c r="E5" s="212">
        <v>591290100</v>
      </c>
      <c r="F5" s="212">
        <v>374123200</v>
      </c>
      <c r="G5" s="212">
        <v>706863900</v>
      </c>
      <c r="H5" s="212">
        <v>2676281200</v>
      </c>
    </row>
    <row r="6" spans="1:8">
      <c r="A6" s="211">
        <v>3</v>
      </c>
      <c r="B6" s="55" t="s">
        <v>335</v>
      </c>
      <c r="C6" s="212">
        <v>158432800</v>
      </c>
      <c r="D6" s="212">
        <v>174326900</v>
      </c>
      <c r="E6" s="212">
        <v>190616300</v>
      </c>
      <c r="F6" s="212">
        <v>208685400</v>
      </c>
      <c r="G6" s="212">
        <v>228449500</v>
      </c>
      <c r="H6" s="212">
        <v>960510900</v>
      </c>
    </row>
    <row r="7" spans="1:8" ht="120">
      <c r="A7" s="211">
        <v>4</v>
      </c>
      <c r="B7" s="55" t="s">
        <v>336</v>
      </c>
      <c r="C7" s="212">
        <v>78712700</v>
      </c>
      <c r="D7" s="212">
        <v>85613200</v>
      </c>
      <c r="E7" s="212">
        <v>102437550</v>
      </c>
      <c r="F7" s="212">
        <v>122666600</v>
      </c>
      <c r="G7" s="212">
        <v>132223700</v>
      </c>
      <c r="H7" s="212">
        <v>521653750</v>
      </c>
    </row>
    <row r="8" spans="1:8" ht="120">
      <c r="A8" s="211">
        <v>5</v>
      </c>
      <c r="B8" s="55" t="s">
        <v>96</v>
      </c>
      <c r="C8" s="212">
        <v>46583100</v>
      </c>
      <c r="D8" s="212">
        <v>50240800</v>
      </c>
      <c r="E8" s="212">
        <v>55780200</v>
      </c>
      <c r="F8" s="212">
        <v>60187500</v>
      </c>
      <c r="G8" s="212">
        <v>66236900</v>
      </c>
      <c r="H8" s="212">
        <v>279028500</v>
      </c>
    </row>
    <row r="9" spans="1:8" ht="48">
      <c r="A9" s="211">
        <v>6</v>
      </c>
      <c r="B9" s="55" t="s">
        <v>16</v>
      </c>
      <c r="C9" s="212">
        <v>6391600</v>
      </c>
      <c r="D9" s="212">
        <v>6838900</v>
      </c>
      <c r="E9" s="212">
        <v>7185300</v>
      </c>
      <c r="F9" s="212">
        <v>7505200</v>
      </c>
      <c r="G9" s="212">
        <v>7880900</v>
      </c>
      <c r="H9" s="212">
        <v>35801900</v>
      </c>
    </row>
    <row r="10" spans="1:8">
      <c r="A10" s="211">
        <v>7</v>
      </c>
      <c r="B10" s="55" t="s">
        <v>314</v>
      </c>
      <c r="C10" s="212">
        <v>7251800</v>
      </c>
      <c r="D10" s="212">
        <v>15941200</v>
      </c>
      <c r="E10" s="212">
        <v>17229400</v>
      </c>
      <c r="F10" s="212">
        <v>18626300</v>
      </c>
      <c r="G10" s="212">
        <v>20142900</v>
      </c>
      <c r="H10" s="212">
        <v>79191600</v>
      </c>
    </row>
    <row r="11" spans="1:8">
      <c r="A11" s="211">
        <v>8</v>
      </c>
      <c r="B11" s="55" t="s">
        <v>141</v>
      </c>
      <c r="C11" s="212">
        <v>5737500</v>
      </c>
      <c r="D11" s="212">
        <v>5859500</v>
      </c>
      <c r="E11" s="212">
        <v>6009500</v>
      </c>
      <c r="F11" s="212">
        <v>6159500</v>
      </c>
      <c r="G11" s="212">
        <v>6309500</v>
      </c>
      <c r="H11" s="212">
        <v>30075500</v>
      </c>
    </row>
    <row r="12" spans="1:8" ht="48">
      <c r="A12" s="211">
        <v>9</v>
      </c>
      <c r="B12" s="55" t="s">
        <v>17</v>
      </c>
      <c r="C12" s="212">
        <v>12755200</v>
      </c>
      <c r="D12" s="212">
        <v>14110200</v>
      </c>
      <c r="E12" s="212">
        <v>15373900</v>
      </c>
      <c r="F12" s="212">
        <v>16828300</v>
      </c>
      <c r="G12" s="212">
        <v>18292000</v>
      </c>
      <c r="H12" s="212">
        <v>77359600</v>
      </c>
    </row>
    <row r="13" spans="1:8" ht="72">
      <c r="A13" s="211">
        <v>10</v>
      </c>
      <c r="B13" s="55" t="s">
        <v>176</v>
      </c>
      <c r="C13" s="212">
        <v>1700000</v>
      </c>
      <c r="D13" s="212">
        <v>2800000</v>
      </c>
      <c r="E13" s="212">
        <v>2900000</v>
      </c>
      <c r="F13" s="212">
        <v>3000000</v>
      </c>
      <c r="G13" s="212">
        <v>3100000</v>
      </c>
      <c r="H13" s="212">
        <v>13500000</v>
      </c>
    </row>
    <row r="14" spans="1:8" ht="72">
      <c r="A14" s="211">
        <v>11</v>
      </c>
      <c r="B14" s="55" t="s">
        <v>328</v>
      </c>
      <c r="C14" s="212">
        <v>2125900</v>
      </c>
      <c r="D14" s="212">
        <v>2238900</v>
      </c>
      <c r="E14" s="212">
        <v>2468900</v>
      </c>
      <c r="F14" s="212">
        <v>2573900</v>
      </c>
      <c r="G14" s="212">
        <v>2673900</v>
      </c>
      <c r="H14" s="212">
        <v>12081500</v>
      </c>
    </row>
    <row r="15" spans="1:8" ht="48">
      <c r="A15" s="211">
        <v>12</v>
      </c>
      <c r="B15" s="55" t="s">
        <v>177</v>
      </c>
      <c r="C15" s="212">
        <v>33762200</v>
      </c>
      <c r="D15" s="212">
        <v>33953400</v>
      </c>
      <c r="E15" s="212">
        <v>41555300</v>
      </c>
      <c r="F15" s="212">
        <v>41655300</v>
      </c>
      <c r="G15" s="212">
        <v>55955300</v>
      </c>
      <c r="H15" s="212">
        <v>206881500</v>
      </c>
    </row>
    <row r="16" spans="1:8" ht="48">
      <c r="A16" s="211">
        <v>13</v>
      </c>
      <c r="B16" s="55" t="s">
        <v>178</v>
      </c>
      <c r="C16" s="212">
        <v>617400</v>
      </c>
      <c r="D16" s="212">
        <v>723900</v>
      </c>
      <c r="E16" s="212">
        <v>830400</v>
      </c>
      <c r="F16" s="212">
        <v>941800</v>
      </c>
      <c r="G16" s="212">
        <v>1054900</v>
      </c>
      <c r="H16" s="212">
        <v>4168400</v>
      </c>
    </row>
    <row r="17" spans="1:8" ht="48">
      <c r="A17" s="211">
        <v>14</v>
      </c>
      <c r="B17" s="55" t="s">
        <v>19</v>
      </c>
      <c r="C17" s="212">
        <v>8161400</v>
      </c>
      <c r="D17" s="212">
        <v>8309900</v>
      </c>
      <c r="E17" s="212">
        <v>8526700</v>
      </c>
      <c r="F17" s="212">
        <v>8636000</v>
      </c>
      <c r="G17" s="212">
        <v>8745800</v>
      </c>
      <c r="H17" s="212">
        <v>42379800</v>
      </c>
    </row>
    <row r="18" spans="1:8" ht="48">
      <c r="A18" s="211">
        <v>15</v>
      </c>
      <c r="B18" s="55" t="s">
        <v>18</v>
      </c>
      <c r="C18" s="212">
        <v>7617300</v>
      </c>
      <c r="D18" s="212">
        <v>8295500</v>
      </c>
      <c r="E18" s="212">
        <v>8977900</v>
      </c>
      <c r="F18" s="212">
        <v>9745700</v>
      </c>
      <c r="G18" s="212">
        <v>10477800</v>
      </c>
      <c r="H18" s="212">
        <v>45114200</v>
      </c>
    </row>
    <row r="19" spans="1:8" ht="96">
      <c r="A19" s="211">
        <v>16</v>
      </c>
      <c r="B19" s="55" t="s">
        <v>179</v>
      </c>
      <c r="C19" s="212">
        <v>2568200</v>
      </c>
      <c r="D19" s="212">
        <v>2653000</v>
      </c>
      <c r="E19" s="212">
        <v>2746300</v>
      </c>
      <c r="F19" s="212">
        <v>2849000</v>
      </c>
      <c r="G19" s="212">
        <v>2961900</v>
      </c>
      <c r="H19" s="212">
        <v>13778400</v>
      </c>
    </row>
    <row r="20" spans="1:8" ht="48">
      <c r="A20" s="211">
        <v>17</v>
      </c>
      <c r="B20" s="55" t="s">
        <v>337</v>
      </c>
      <c r="C20" s="212">
        <v>153314086</v>
      </c>
      <c r="D20" s="212">
        <v>160425986</v>
      </c>
      <c r="E20" s="212">
        <v>176927300</v>
      </c>
      <c r="F20" s="212">
        <v>193647600</v>
      </c>
      <c r="G20" s="212">
        <v>210625700</v>
      </c>
      <c r="H20" s="212">
        <v>894940672</v>
      </c>
    </row>
    <row r="21" spans="1:8" ht="48">
      <c r="A21" s="211">
        <v>18</v>
      </c>
      <c r="B21" s="55" t="s">
        <v>20</v>
      </c>
      <c r="C21" s="212">
        <v>17339514</v>
      </c>
      <c r="D21" s="212">
        <v>17648514</v>
      </c>
      <c r="E21" s="212">
        <v>17989750</v>
      </c>
      <c r="F21" s="212">
        <v>18322600</v>
      </c>
      <c r="G21" s="212">
        <v>18667100</v>
      </c>
      <c r="H21" s="212">
        <v>89967478</v>
      </c>
    </row>
    <row r="22" spans="1:8" ht="48">
      <c r="A22" s="211">
        <v>19</v>
      </c>
      <c r="B22" s="55" t="s">
        <v>180</v>
      </c>
      <c r="C22" s="212">
        <v>30783600</v>
      </c>
      <c r="D22" s="212">
        <v>32679100</v>
      </c>
      <c r="E22" s="212">
        <v>34381100</v>
      </c>
      <c r="F22" s="212">
        <v>36146700</v>
      </c>
      <c r="G22" s="212">
        <v>37825000</v>
      </c>
      <c r="H22" s="212">
        <v>171815500</v>
      </c>
    </row>
    <row r="23" spans="1:8">
      <c r="A23" s="211">
        <v>20</v>
      </c>
      <c r="B23" s="55" t="s">
        <v>338</v>
      </c>
      <c r="C23" s="212">
        <v>983600</v>
      </c>
      <c r="D23" s="212">
        <v>1278500</v>
      </c>
      <c r="E23" s="212">
        <v>1479000</v>
      </c>
      <c r="F23" s="212">
        <v>1679600</v>
      </c>
      <c r="G23" s="212">
        <v>1880200</v>
      </c>
      <c r="H23" s="212">
        <v>7300900</v>
      </c>
    </row>
    <row r="24" spans="1:8">
      <c r="A24" s="213"/>
      <c r="B24" s="214" t="s">
        <v>354</v>
      </c>
      <c r="C24" s="214">
        <v>1571401100</v>
      </c>
      <c r="D24" s="214">
        <v>1801074100</v>
      </c>
      <c r="E24" s="214">
        <v>1935374600</v>
      </c>
      <c r="F24" s="214">
        <v>1844807200</v>
      </c>
      <c r="G24" s="214">
        <v>2327367800</v>
      </c>
      <c r="H24" s="214">
        <v>9480024800</v>
      </c>
    </row>
  </sheetData>
  <mergeCells count="4">
    <mergeCell ref="A2:A3"/>
    <mergeCell ref="C2:H2"/>
    <mergeCell ref="B2:B3"/>
    <mergeCell ref="A1:H1"/>
  </mergeCells>
  <printOptions horizontalCentered="1"/>
  <pageMargins left="0.25" right="0.47" top="0.45" bottom="0.38" header="0.31496062992125984" footer="0.31496062992125984"/>
  <pageSetup paperSize="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H25"/>
  <sheetViews>
    <sheetView workbookViewId="0">
      <selection activeCell="B5" sqref="B5:H24"/>
    </sheetView>
  </sheetViews>
  <sheetFormatPr defaultRowHeight="14.25"/>
  <cols>
    <col min="2" max="2" width="40.125" customWidth="1"/>
    <col min="3" max="7" width="16.625" bestFit="1" customWidth="1"/>
    <col min="8" max="8" width="14.875" bestFit="1" customWidth="1"/>
  </cols>
  <sheetData>
    <row r="3" spans="1:8">
      <c r="C3" s="163" t="s">
        <v>385</v>
      </c>
    </row>
    <row r="4" spans="1:8">
      <c r="B4" s="163" t="s">
        <v>244</v>
      </c>
      <c r="C4" t="s">
        <v>386</v>
      </c>
      <c r="D4" t="s">
        <v>384</v>
      </c>
      <c r="E4" t="s">
        <v>387</v>
      </c>
      <c r="F4" t="s">
        <v>388</v>
      </c>
      <c r="G4" t="s">
        <v>389</v>
      </c>
      <c r="H4" t="s">
        <v>355</v>
      </c>
    </row>
    <row r="5" spans="1:8">
      <c r="A5">
        <v>1</v>
      </c>
      <c r="B5" t="s">
        <v>175</v>
      </c>
      <c r="C5" s="207">
        <v>469783500</v>
      </c>
      <c r="D5" s="207">
        <v>534220500</v>
      </c>
      <c r="E5" s="207">
        <v>591290100</v>
      </c>
      <c r="F5" s="207">
        <v>374123200</v>
      </c>
      <c r="G5" s="207">
        <v>706863900</v>
      </c>
      <c r="H5" s="207">
        <v>2676281200</v>
      </c>
    </row>
    <row r="6" spans="1:8">
      <c r="A6">
        <v>1</v>
      </c>
      <c r="B6" t="s">
        <v>336</v>
      </c>
      <c r="C6" s="207">
        <v>78712700</v>
      </c>
      <c r="D6" s="207">
        <v>85613200</v>
      </c>
      <c r="E6" s="207">
        <v>102437550</v>
      </c>
      <c r="F6" s="207">
        <v>122666600</v>
      </c>
      <c r="G6" s="207">
        <v>132223700</v>
      </c>
      <c r="H6" s="207">
        <v>521653750</v>
      </c>
    </row>
    <row r="7" spans="1:8">
      <c r="A7">
        <v>4</v>
      </c>
      <c r="B7" t="s">
        <v>328</v>
      </c>
      <c r="C7" s="207">
        <v>2125900</v>
      </c>
      <c r="D7" s="207">
        <v>2238900</v>
      </c>
      <c r="E7" s="207">
        <v>2468900</v>
      </c>
      <c r="F7" s="207">
        <v>2573900</v>
      </c>
      <c r="G7" s="207">
        <v>2673900</v>
      </c>
      <c r="H7" s="207">
        <v>12081500</v>
      </c>
    </row>
    <row r="8" spans="1:8">
      <c r="A8">
        <v>7</v>
      </c>
      <c r="B8" t="s">
        <v>338</v>
      </c>
      <c r="C8" s="207">
        <v>983600</v>
      </c>
      <c r="D8" s="207">
        <v>1278500</v>
      </c>
      <c r="E8" s="207">
        <v>1479000</v>
      </c>
      <c r="F8" s="207">
        <v>1679600</v>
      </c>
      <c r="G8" s="207">
        <v>1880200</v>
      </c>
      <c r="H8" s="207">
        <v>7300900</v>
      </c>
    </row>
    <row r="9" spans="1:8">
      <c r="A9">
        <v>4</v>
      </c>
      <c r="B9" t="s">
        <v>17</v>
      </c>
      <c r="C9" s="207">
        <v>12755200</v>
      </c>
      <c r="D9" s="207">
        <v>14110200</v>
      </c>
      <c r="E9" s="207">
        <v>15373900</v>
      </c>
      <c r="F9" s="207">
        <v>16828300</v>
      </c>
      <c r="G9" s="207">
        <v>18292000</v>
      </c>
      <c r="H9" s="207">
        <v>77359600</v>
      </c>
    </row>
    <row r="10" spans="1:8">
      <c r="A10">
        <v>4</v>
      </c>
      <c r="B10" t="s">
        <v>176</v>
      </c>
      <c r="C10" s="207">
        <v>1700000</v>
      </c>
      <c r="D10" s="207">
        <v>2800000</v>
      </c>
      <c r="E10" s="207">
        <v>2900000</v>
      </c>
      <c r="F10" s="207">
        <v>3000000</v>
      </c>
      <c r="G10" s="207">
        <v>3100000</v>
      </c>
      <c r="H10" s="207">
        <v>13500000</v>
      </c>
    </row>
    <row r="11" spans="1:8">
      <c r="A11">
        <v>1</v>
      </c>
      <c r="B11" t="s">
        <v>15</v>
      </c>
      <c r="C11" s="207">
        <v>526779700</v>
      </c>
      <c r="D11" s="207">
        <v>642916200</v>
      </c>
      <c r="E11" s="207">
        <v>650669700</v>
      </c>
      <c r="F11" s="207">
        <v>710827000</v>
      </c>
      <c r="G11" s="207">
        <v>787000900</v>
      </c>
      <c r="H11" s="207">
        <v>3318193500</v>
      </c>
    </row>
    <row r="12" spans="1:8">
      <c r="A12">
        <v>1</v>
      </c>
      <c r="B12" t="s">
        <v>335</v>
      </c>
      <c r="C12" s="207">
        <v>158432800</v>
      </c>
      <c r="D12" s="207">
        <v>174326900</v>
      </c>
      <c r="E12" s="207">
        <v>190616300</v>
      </c>
      <c r="F12" s="207">
        <v>208685400</v>
      </c>
      <c r="G12" s="207">
        <v>228449500</v>
      </c>
      <c r="H12" s="207">
        <v>960510900</v>
      </c>
    </row>
    <row r="13" spans="1:8">
      <c r="A13">
        <v>3</v>
      </c>
      <c r="B13" t="s">
        <v>16</v>
      </c>
      <c r="C13" s="207">
        <v>6391600</v>
      </c>
      <c r="D13" s="207">
        <v>6838900</v>
      </c>
      <c r="E13" s="207">
        <v>7185300</v>
      </c>
      <c r="F13" s="207">
        <v>7505200</v>
      </c>
      <c r="G13" s="207">
        <v>7880900</v>
      </c>
      <c r="H13" s="207">
        <v>35801900</v>
      </c>
    </row>
    <row r="14" spans="1:8">
      <c r="A14">
        <v>6</v>
      </c>
      <c r="B14" t="s">
        <v>19</v>
      </c>
      <c r="C14" s="207">
        <v>8161400</v>
      </c>
      <c r="D14" s="207">
        <v>8309900</v>
      </c>
      <c r="E14" s="207">
        <v>8526700</v>
      </c>
      <c r="F14" s="207">
        <v>8636000</v>
      </c>
      <c r="G14" s="207">
        <v>8745800</v>
      </c>
      <c r="H14" s="207">
        <v>42379800</v>
      </c>
    </row>
    <row r="15" spans="1:8">
      <c r="A15">
        <v>6</v>
      </c>
      <c r="B15" t="s">
        <v>337</v>
      </c>
      <c r="C15" s="207">
        <v>153314086</v>
      </c>
      <c r="D15" s="207">
        <v>160425986</v>
      </c>
      <c r="E15" s="207">
        <v>176927300</v>
      </c>
      <c r="F15" s="207">
        <v>193647600</v>
      </c>
      <c r="G15" s="207">
        <v>210625700</v>
      </c>
      <c r="H15" s="207">
        <v>894940672</v>
      </c>
    </row>
    <row r="16" spans="1:8">
      <c r="A16">
        <v>5</v>
      </c>
      <c r="B16" t="s">
        <v>18</v>
      </c>
      <c r="C16" s="207">
        <v>7617300</v>
      </c>
      <c r="D16" s="207">
        <v>8295500</v>
      </c>
      <c r="E16" s="207">
        <v>8977900</v>
      </c>
      <c r="F16" s="207">
        <v>9745700</v>
      </c>
      <c r="G16" s="207">
        <v>10477800</v>
      </c>
      <c r="H16" s="207">
        <v>45114200</v>
      </c>
    </row>
    <row r="17" spans="1:8">
      <c r="A17">
        <v>6</v>
      </c>
      <c r="B17" t="s">
        <v>20</v>
      </c>
      <c r="C17" s="207">
        <v>17339514</v>
      </c>
      <c r="D17" s="207">
        <v>17648514</v>
      </c>
      <c r="E17" s="207">
        <v>17989750</v>
      </c>
      <c r="F17" s="207">
        <v>18322600</v>
      </c>
      <c r="G17" s="207">
        <v>18667100</v>
      </c>
      <c r="H17" s="207">
        <v>89967478</v>
      </c>
    </row>
    <row r="18" spans="1:8">
      <c r="A18">
        <v>3</v>
      </c>
      <c r="B18" t="s">
        <v>141</v>
      </c>
      <c r="C18" s="207">
        <v>5737500</v>
      </c>
      <c r="D18" s="207">
        <v>5859500</v>
      </c>
      <c r="E18" s="207">
        <v>6009500</v>
      </c>
      <c r="F18" s="207">
        <v>6159500</v>
      </c>
      <c r="G18" s="207">
        <v>6309500</v>
      </c>
      <c r="H18" s="207">
        <v>30075500</v>
      </c>
    </row>
    <row r="19" spans="1:8">
      <c r="A19">
        <v>3</v>
      </c>
      <c r="B19" t="s">
        <v>314</v>
      </c>
      <c r="C19" s="207">
        <v>7251800</v>
      </c>
      <c r="D19" s="207">
        <v>15941200</v>
      </c>
      <c r="E19" s="207">
        <v>17229400</v>
      </c>
      <c r="F19" s="207">
        <v>18626300</v>
      </c>
      <c r="G19" s="207">
        <v>20142900</v>
      </c>
      <c r="H19" s="207">
        <v>79191600</v>
      </c>
    </row>
    <row r="20" spans="1:8">
      <c r="A20">
        <v>4</v>
      </c>
      <c r="B20" t="s">
        <v>179</v>
      </c>
      <c r="C20" s="207">
        <v>2568200</v>
      </c>
      <c r="D20" s="207">
        <v>2653000</v>
      </c>
      <c r="E20" s="207">
        <v>2746300</v>
      </c>
      <c r="F20" s="207">
        <v>2849000</v>
      </c>
      <c r="G20" s="207">
        <v>2961900</v>
      </c>
      <c r="H20" s="207">
        <v>13778400</v>
      </c>
    </row>
    <row r="21" spans="1:8">
      <c r="A21">
        <v>2</v>
      </c>
      <c r="B21" t="s">
        <v>96</v>
      </c>
      <c r="C21" s="207">
        <v>46583100</v>
      </c>
      <c r="D21" s="207">
        <v>50240800</v>
      </c>
      <c r="E21" s="207">
        <v>55780200</v>
      </c>
      <c r="F21" s="207">
        <v>60187500</v>
      </c>
      <c r="G21" s="207">
        <v>66236900</v>
      </c>
      <c r="H21" s="207">
        <v>279028500</v>
      </c>
    </row>
    <row r="22" spans="1:8">
      <c r="A22">
        <v>4</v>
      </c>
      <c r="B22" t="s">
        <v>178</v>
      </c>
      <c r="C22" s="207">
        <v>617400</v>
      </c>
      <c r="D22" s="207">
        <v>723900</v>
      </c>
      <c r="E22" s="207">
        <v>830400</v>
      </c>
      <c r="F22" s="207">
        <v>941800</v>
      </c>
      <c r="G22" s="207">
        <v>1054900</v>
      </c>
      <c r="H22" s="207">
        <v>4168400</v>
      </c>
    </row>
    <row r="23" spans="1:8">
      <c r="A23">
        <v>4</v>
      </c>
      <c r="B23" t="s">
        <v>177</v>
      </c>
      <c r="C23" s="207">
        <v>33762200</v>
      </c>
      <c r="D23" s="207">
        <v>33953400</v>
      </c>
      <c r="E23" s="207">
        <v>41555300</v>
      </c>
      <c r="F23" s="207">
        <v>41655300</v>
      </c>
      <c r="G23" s="207">
        <v>55955300</v>
      </c>
      <c r="H23" s="207">
        <v>206881500</v>
      </c>
    </row>
    <row r="24" spans="1:8">
      <c r="A24">
        <v>4</v>
      </c>
      <c r="B24" t="s">
        <v>180</v>
      </c>
      <c r="C24" s="207">
        <v>30783600</v>
      </c>
      <c r="D24" s="207">
        <v>32679100</v>
      </c>
      <c r="E24" s="207">
        <v>34381100</v>
      </c>
      <c r="F24" s="207">
        <v>36146700</v>
      </c>
      <c r="G24" s="207">
        <v>37825000</v>
      </c>
      <c r="H24" s="207">
        <v>171815500</v>
      </c>
    </row>
    <row r="25" spans="1:8">
      <c r="B25" t="s">
        <v>354</v>
      </c>
      <c r="C25" s="207">
        <v>1571401100</v>
      </c>
      <c r="D25" s="207">
        <v>1801074100</v>
      </c>
      <c r="E25" s="207">
        <v>1935374600</v>
      </c>
      <c r="F25" s="207">
        <v>1844807200</v>
      </c>
      <c r="G25" s="207">
        <v>2327367800</v>
      </c>
      <c r="H25" s="207">
        <v>9480024800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1"/>
  <sheetViews>
    <sheetView workbookViewId="0">
      <pane xSplit="2" ySplit="4" topLeftCell="F104" activePane="bottomRight" state="frozen"/>
      <selection pane="topRight" activeCell="C1" sqref="C1"/>
      <selection pane="bottomLeft" activeCell="A5" sqref="A5"/>
      <selection pane="bottomRight" activeCell="G49" sqref="G49:I49"/>
    </sheetView>
  </sheetViews>
  <sheetFormatPr defaultColWidth="12.375" defaultRowHeight="58.5" customHeight="1"/>
  <cols>
    <col min="1" max="1" width="9.5" style="68" customWidth="1"/>
    <col min="2" max="2" width="27.625" style="7" customWidth="1"/>
    <col min="3" max="3" width="30.125" style="7" customWidth="1"/>
    <col min="4" max="4" width="18.625" style="6" customWidth="1"/>
    <col min="5" max="9" width="15.75" style="7" bestFit="1" customWidth="1"/>
    <col min="10" max="10" width="14.875" style="7" customWidth="1"/>
    <col min="11" max="16384" width="12.375" style="7"/>
  </cols>
  <sheetData>
    <row r="1" spans="1:10" s="23" customFormat="1" ht="27.75">
      <c r="A1" s="87" t="s">
        <v>247</v>
      </c>
      <c r="B1" s="69"/>
      <c r="C1" s="59"/>
      <c r="D1" s="59"/>
      <c r="E1" s="59"/>
      <c r="F1" s="59"/>
      <c r="G1" s="59"/>
      <c r="H1" s="59"/>
      <c r="I1" s="59"/>
    </row>
    <row r="2" spans="1:10" s="23" customFormat="1" ht="24" customHeight="1">
      <c r="A2" s="84" t="s">
        <v>111</v>
      </c>
      <c r="B2" s="84" t="s">
        <v>244</v>
      </c>
      <c r="C2" s="84" t="s">
        <v>246</v>
      </c>
      <c r="D2" s="84" t="s">
        <v>245</v>
      </c>
      <c r="E2" s="85" t="s">
        <v>13</v>
      </c>
      <c r="F2" s="85" t="s">
        <v>13</v>
      </c>
      <c r="G2" s="85" t="s">
        <v>13</v>
      </c>
      <c r="H2" s="85" t="s">
        <v>13</v>
      </c>
      <c r="I2" s="85" t="s">
        <v>13</v>
      </c>
      <c r="J2" s="180"/>
    </row>
    <row r="3" spans="1:10" s="23" customFormat="1" ht="27.75">
      <c r="A3" s="88"/>
      <c r="B3" s="88"/>
      <c r="C3" s="88"/>
      <c r="D3" s="88"/>
      <c r="E3" s="51">
        <v>2555</v>
      </c>
      <c r="F3" s="51">
        <v>2556</v>
      </c>
      <c r="G3" s="51">
        <v>2557</v>
      </c>
      <c r="H3" s="51">
        <v>2558</v>
      </c>
      <c r="I3" s="51">
        <v>2559</v>
      </c>
      <c r="J3" s="181"/>
    </row>
    <row r="4" spans="1:10" s="50" customFormat="1" ht="27.75">
      <c r="A4" s="162" t="s">
        <v>111</v>
      </c>
      <c r="B4" s="162" t="s">
        <v>244</v>
      </c>
      <c r="C4" s="162" t="s">
        <v>246</v>
      </c>
      <c r="D4" s="162" t="s">
        <v>245</v>
      </c>
      <c r="E4" s="51">
        <v>2555</v>
      </c>
      <c r="F4" s="51">
        <v>2556</v>
      </c>
      <c r="G4" s="51">
        <v>2557</v>
      </c>
      <c r="H4" s="51">
        <v>2558</v>
      </c>
      <c r="I4" s="51">
        <v>2559</v>
      </c>
      <c r="J4" s="92" t="s">
        <v>353</v>
      </c>
    </row>
    <row r="5" spans="1:10" s="3" customFormat="1" ht="60" customHeight="1">
      <c r="A5" s="160">
        <v>1</v>
      </c>
      <c r="B5" s="70" t="s">
        <v>15</v>
      </c>
      <c r="C5" s="70" t="s">
        <v>57</v>
      </c>
      <c r="D5" s="161" t="s">
        <v>56</v>
      </c>
      <c r="E5" s="15">
        <f>22254050+50</f>
        <v>22254100</v>
      </c>
      <c r="F5" s="15">
        <v>25000000</v>
      </c>
      <c r="G5" s="15">
        <v>28000000</v>
      </c>
      <c r="H5" s="15">
        <v>32000000</v>
      </c>
      <c r="I5" s="15">
        <v>36000000</v>
      </c>
      <c r="J5" s="19">
        <f>SUM(E5:I5)</f>
        <v>143254100</v>
      </c>
    </row>
    <row r="6" spans="1:10" s="3" customFormat="1" ht="60" customHeight="1">
      <c r="A6" s="63">
        <v>1</v>
      </c>
      <c r="B6" s="27" t="s">
        <v>15</v>
      </c>
      <c r="C6" s="27" t="s">
        <v>278</v>
      </c>
      <c r="D6" s="4" t="s">
        <v>56</v>
      </c>
      <c r="E6" s="15">
        <v>1383400</v>
      </c>
      <c r="F6" s="15">
        <v>1500000</v>
      </c>
      <c r="G6" s="15">
        <v>1600000</v>
      </c>
      <c r="H6" s="15">
        <v>1700000</v>
      </c>
      <c r="I6" s="15">
        <v>1800000</v>
      </c>
      <c r="J6" s="15">
        <f t="shared" ref="J6:J69" si="0">SUM(E6:I6)</f>
        <v>7983400</v>
      </c>
    </row>
    <row r="7" spans="1:10" s="3" customFormat="1" ht="96">
      <c r="A7" s="63">
        <v>1</v>
      </c>
      <c r="B7" s="27" t="s">
        <v>15</v>
      </c>
      <c r="C7" s="35" t="s">
        <v>124</v>
      </c>
      <c r="D7" s="4" t="s">
        <v>110</v>
      </c>
      <c r="E7" s="15">
        <v>40957000</v>
      </c>
      <c r="F7" s="15">
        <v>47351700</v>
      </c>
      <c r="G7" s="15">
        <v>50328800</v>
      </c>
      <c r="H7" s="15">
        <v>54182000</v>
      </c>
      <c r="I7" s="15">
        <v>57586400</v>
      </c>
      <c r="J7" s="15">
        <f t="shared" si="0"/>
        <v>250405900</v>
      </c>
    </row>
    <row r="8" spans="1:10" s="3" customFormat="1" ht="60" customHeight="1">
      <c r="A8" s="63">
        <v>1</v>
      </c>
      <c r="B8" s="27" t="s">
        <v>15</v>
      </c>
      <c r="C8" s="35" t="s">
        <v>287</v>
      </c>
      <c r="D8" s="4" t="s">
        <v>110</v>
      </c>
      <c r="E8" s="15">
        <v>3379000</v>
      </c>
      <c r="F8" s="15">
        <v>60891000</v>
      </c>
      <c r="G8" s="15">
        <v>13700000</v>
      </c>
      <c r="H8" s="15">
        <v>11750000</v>
      </c>
      <c r="I8" s="15">
        <v>21500000</v>
      </c>
      <c r="J8" s="15">
        <f t="shared" si="0"/>
        <v>111220000</v>
      </c>
    </row>
    <row r="9" spans="1:10" s="3" customFormat="1" ht="60" customHeight="1">
      <c r="A9" s="63">
        <v>1</v>
      </c>
      <c r="B9" s="27" t="s">
        <v>15</v>
      </c>
      <c r="C9" s="36" t="s">
        <v>187</v>
      </c>
      <c r="D9" s="4" t="s">
        <v>110</v>
      </c>
      <c r="E9" s="15">
        <v>3000000</v>
      </c>
      <c r="F9" s="15">
        <v>3500000</v>
      </c>
      <c r="G9" s="15">
        <v>3500000</v>
      </c>
      <c r="H9" s="15">
        <v>4000000</v>
      </c>
      <c r="I9" s="15">
        <v>4000000</v>
      </c>
      <c r="J9" s="15">
        <f t="shared" si="0"/>
        <v>18000000</v>
      </c>
    </row>
    <row r="10" spans="1:10" s="3" customFormat="1" ht="60" customHeight="1">
      <c r="A10" s="63">
        <v>1</v>
      </c>
      <c r="B10" s="27" t="s">
        <v>15</v>
      </c>
      <c r="C10" s="36" t="s">
        <v>312</v>
      </c>
      <c r="D10" s="4" t="s">
        <v>94</v>
      </c>
      <c r="E10" s="15">
        <v>25000000</v>
      </c>
      <c r="F10" s="15">
        <v>26000000</v>
      </c>
      <c r="G10" s="15">
        <v>27000000</v>
      </c>
      <c r="H10" s="15">
        <v>28000000</v>
      </c>
      <c r="I10" s="15">
        <v>29000000</v>
      </c>
      <c r="J10" s="15">
        <f t="shared" si="0"/>
        <v>135000000</v>
      </c>
    </row>
    <row r="11" spans="1:10" s="3" customFormat="1" ht="60" customHeight="1">
      <c r="A11" s="63">
        <v>1</v>
      </c>
      <c r="B11" s="27" t="s">
        <v>15</v>
      </c>
      <c r="C11" s="154" t="s">
        <v>379</v>
      </c>
      <c r="D11" s="4" t="s">
        <v>381</v>
      </c>
      <c r="E11" s="15">
        <f>ROUND(F11*0.9,-2)</f>
        <v>430806200</v>
      </c>
      <c r="F11" s="15">
        <f>418673500+60000000</f>
        <v>478673500</v>
      </c>
      <c r="G11" s="15">
        <f>ROUND(F11*0.1+F11,-2)</f>
        <v>526540900</v>
      </c>
      <c r="H11" s="15">
        <f>ROUND(G11*0.1+G11,-2)</f>
        <v>579195000</v>
      </c>
      <c r="I11" s="15">
        <f t="shared" ref="I11" si="1">H11*0.1+H11</f>
        <v>637114500</v>
      </c>
      <c r="J11" s="15">
        <f t="shared" si="0"/>
        <v>2652330100</v>
      </c>
    </row>
    <row r="12" spans="1:10" ht="48">
      <c r="A12" s="63">
        <v>1</v>
      </c>
      <c r="B12" s="27" t="s">
        <v>175</v>
      </c>
      <c r="C12" s="27" t="s">
        <v>27</v>
      </c>
      <c r="D12" s="4" t="s">
        <v>250</v>
      </c>
      <c r="E12" s="15">
        <v>285658900</v>
      </c>
      <c r="F12" s="15">
        <v>332234000</v>
      </c>
      <c r="G12" s="15">
        <v>372778000</v>
      </c>
      <c r="H12" s="15">
        <v>137988000</v>
      </c>
      <c r="I12" s="15">
        <v>451225000</v>
      </c>
      <c r="J12" s="15">
        <f t="shared" si="0"/>
        <v>1579883900</v>
      </c>
    </row>
    <row r="13" spans="1:10" ht="48">
      <c r="A13" s="63">
        <v>1</v>
      </c>
      <c r="B13" s="27" t="s">
        <v>175</v>
      </c>
      <c r="C13" s="27" t="s">
        <v>52</v>
      </c>
      <c r="D13" s="4" t="s">
        <v>50</v>
      </c>
      <c r="E13" s="15">
        <v>338200</v>
      </c>
      <c r="F13" s="15">
        <v>960000</v>
      </c>
      <c r="G13" s="15">
        <v>990000</v>
      </c>
      <c r="H13" s="15">
        <v>1176000</v>
      </c>
      <c r="I13" s="15">
        <v>1344000</v>
      </c>
      <c r="J13" s="15">
        <f t="shared" si="0"/>
        <v>4808200</v>
      </c>
    </row>
    <row r="14" spans="1:10" ht="48">
      <c r="A14" s="63">
        <v>1</v>
      </c>
      <c r="B14" s="27" t="s">
        <v>175</v>
      </c>
      <c r="C14" s="27" t="s">
        <v>288</v>
      </c>
      <c r="D14" s="4" t="s">
        <v>50</v>
      </c>
      <c r="E14" s="15">
        <v>10536000</v>
      </c>
      <c r="F14" s="15">
        <v>11772900</v>
      </c>
      <c r="G14" s="15">
        <v>13008900</v>
      </c>
      <c r="H14" s="15">
        <v>14244900</v>
      </c>
      <c r="I14" s="15">
        <v>15480900</v>
      </c>
      <c r="J14" s="15">
        <f t="shared" si="0"/>
        <v>65043600</v>
      </c>
    </row>
    <row r="15" spans="1:10" ht="48">
      <c r="A15" s="63">
        <v>1</v>
      </c>
      <c r="B15" s="27" t="s">
        <v>175</v>
      </c>
      <c r="C15" s="27" t="s">
        <v>289</v>
      </c>
      <c r="D15" s="4" t="s">
        <v>50</v>
      </c>
      <c r="E15" s="15">
        <v>300000</v>
      </c>
      <c r="F15" s="15">
        <v>1500000</v>
      </c>
      <c r="G15" s="15">
        <v>2000000</v>
      </c>
      <c r="H15" s="15">
        <v>2000000</v>
      </c>
      <c r="I15" s="15">
        <v>2000000</v>
      </c>
      <c r="J15" s="15">
        <f t="shared" si="0"/>
        <v>7800000</v>
      </c>
    </row>
    <row r="16" spans="1:10" ht="48">
      <c r="A16" s="63">
        <v>1</v>
      </c>
      <c r="B16" s="27" t="s">
        <v>175</v>
      </c>
      <c r="C16" s="27" t="s">
        <v>290</v>
      </c>
      <c r="D16" s="4" t="s">
        <v>50</v>
      </c>
      <c r="E16" s="15">
        <v>69000</v>
      </c>
      <c r="F16" s="15">
        <v>76000</v>
      </c>
      <c r="G16" s="15">
        <v>83800</v>
      </c>
      <c r="H16" s="15">
        <v>92000</v>
      </c>
      <c r="I16" s="15">
        <v>101000</v>
      </c>
      <c r="J16" s="15">
        <f t="shared" si="0"/>
        <v>421800</v>
      </c>
    </row>
    <row r="17" spans="1:10" ht="48">
      <c r="A17" s="63">
        <v>1</v>
      </c>
      <c r="B17" s="27" t="s">
        <v>175</v>
      </c>
      <c r="C17" s="27" t="s">
        <v>279</v>
      </c>
      <c r="D17" s="4" t="s">
        <v>21</v>
      </c>
      <c r="E17" s="15">
        <v>39290000</v>
      </c>
      <c r="F17" s="15">
        <v>39270000</v>
      </c>
      <c r="G17" s="15">
        <v>39170000</v>
      </c>
      <c r="H17" s="15">
        <v>39040000</v>
      </c>
      <c r="I17" s="57">
        <v>39170000</v>
      </c>
      <c r="J17" s="15">
        <f t="shared" si="0"/>
        <v>195940000</v>
      </c>
    </row>
    <row r="18" spans="1:10" ht="48">
      <c r="A18" s="63">
        <v>1</v>
      </c>
      <c r="B18" s="27" t="s">
        <v>175</v>
      </c>
      <c r="C18" s="27" t="s">
        <v>51</v>
      </c>
      <c r="D18" s="4" t="s">
        <v>50</v>
      </c>
      <c r="E18" s="15">
        <v>1614000</v>
      </c>
      <c r="F18" s="15">
        <v>1766000</v>
      </c>
      <c r="G18" s="15">
        <v>1953600</v>
      </c>
      <c r="H18" s="15">
        <v>2145900</v>
      </c>
      <c r="I18" s="15">
        <v>2363000</v>
      </c>
      <c r="J18" s="15">
        <f t="shared" si="0"/>
        <v>9842500</v>
      </c>
    </row>
    <row r="19" spans="1:10" ht="48">
      <c r="A19" s="63">
        <v>1</v>
      </c>
      <c r="B19" s="27" t="s">
        <v>175</v>
      </c>
      <c r="C19" s="154" t="s">
        <v>380</v>
      </c>
      <c r="D19" s="17" t="s">
        <v>381</v>
      </c>
      <c r="E19" s="155">
        <f>ROUND(F19*0.9,-2)</f>
        <v>131977400</v>
      </c>
      <c r="F19" s="155">
        <f>86641600+60000000</f>
        <v>146641600</v>
      </c>
      <c r="G19" s="15">
        <f>ROUND(F19*0.1+F19,-2)</f>
        <v>161305800</v>
      </c>
      <c r="H19" s="15">
        <f>ROUND(G19*0.1+G19,-2)</f>
        <v>177436400</v>
      </c>
      <c r="I19" s="15">
        <f>ROUND(H19*0.1+H19,-2)</f>
        <v>195180000</v>
      </c>
      <c r="J19" s="15">
        <f t="shared" si="0"/>
        <v>812541200</v>
      </c>
    </row>
    <row r="20" spans="1:10" ht="24">
      <c r="A20" s="63">
        <v>1</v>
      </c>
      <c r="B20" s="27" t="s">
        <v>335</v>
      </c>
      <c r="C20" s="61" t="s">
        <v>254</v>
      </c>
      <c r="D20" s="4" t="s">
        <v>79</v>
      </c>
      <c r="E20" s="15">
        <v>114400</v>
      </c>
      <c r="F20" s="15">
        <f>ROUND(E20*5%+E20,-2)</f>
        <v>120100</v>
      </c>
      <c r="G20" s="15">
        <f t="shared" ref="G20:I20" si="2">ROUND(F20*5%+F20,-2)</f>
        <v>126100</v>
      </c>
      <c r="H20" s="15">
        <f t="shared" si="2"/>
        <v>132400</v>
      </c>
      <c r="I20" s="15">
        <f t="shared" si="2"/>
        <v>139000</v>
      </c>
      <c r="J20" s="15">
        <f t="shared" si="0"/>
        <v>632000</v>
      </c>
    </row>
    <row r="21" spans="1:10" ht="72">
      <c r="A21" s="63">
        <v>1</v>
      </c>
      <c r="B21" s="27" t="s">
        <v>335</v>
      </c>
      <c r="C21" s="60" t="s">
        <v>59</v>
      </c>
      <c r="D21" s="4" t="s">
        <v>58</v>
      </c>
      <c r="E21" s="33">
        <f>1476022-22</f>
        <v>1476000</v>
      </c>
      <c r="F21" s="33">
        <f t="shared" ref="F21:I21" si="3">1476022-22</f>
        <v>1476000</v>
      </c>
      <c r="G21" s="33">
        <f t="shared" si="3"/>
        <v>1476000</v>
      </c>
      <c r="H21" s="33">
        <f t="shared" si="3"/>
        <v>1476000</v>
      </c>
      <c r="I21" s="33">
        <f t="shared" si="3"/>
        <v>1476000</v>
      </c>
      <c r="J21" s="15">
        <f t="shared" si="0"/>
        <v>7380000</v>
      </c>
    </row>
    <row r="22" spans="1:10" ht="24">
      <c r="A22" s="63">
        <v>1</v>
      </c>
      <c r="B22" s="27" t="s">
        <v>335</v>
      </c>
      <c r="C22" s="60" t="s">
        <v>60</v>
      </c>
      <c r="D22" s="4" t="s">
        <v>58</v>
      </c>
      <c r="E22" s="33">
        <f>9298280+20</f>
        <v>9298300</v>
      </c>
      <c r="F22" s="33">
        <f>ROUND(9298280,-2)</f>
        <v>9298300</v>
      </c>
      <c r="G22" s="33">
        <f>ROUND(9638448,-2)</f>
        <v>9638400</v>
      </c>
      <c r="H22" s="33">
        <f>ROUND(10173612,-2)</f>
        <v>10173600</v>
      </c>
      <c r="I22" s="33">
        <f>ROUND(10660752,-2)</f>
        <v>10660800</v>
      </c>
      <c r="J22" s="15">
        <f t="shared" si="0"/>
        <v>49069400</v>
      </c>
    </row>
    <row r="23" spans="1:10" ht="48">
      <c r="A23" s="63">
        <v>1</v>
      </c>
      <c r="B23" s="27" t="s">
        <v>335</v>
      </c>
      <c r="C23" s="60" t="s">
        <v>61</v>
      </c>
      <c r="D23" s="4" t="s">
        <v>58</v>
      </c>
      <c r="E23" s="33">
        <v>1118000</v>
      </c>
      <c r="F23" s="33">
        <v>1118000</v>
      </c>
      <c r="G23" s="33">
        <v>1118000</v>
      </c>
      <c r="H23" s="33">
        <v>1118000</v>
      </c>
      <c r="I23" s="33">
        <v>1118000</v>
      </c>
      <c r="J23" s="15">
        <f t="shared" si="0"/>
        <v>5590000</v>
      </c>
    </row>
    <row r="24" spans="1:10" ht="48">
      <c r="A24" s="63">
        <v>1</v>
      </c>
      <c r="B24" s="27" t="s">
        <v>335</v>
      </c>
      <c r="C24" s="60" t="s">
        <v>62</v>
      </c>
      <c r="D24" s="4" t="s">
        <v>58</v>
      </c>
      <c r="E24" s="33">
        <v>950000</v>
      </c>
      <c r="F24" s="33">
        <v>950000</v>
      </c>
      <c r="G24" s="33">
        <v>950000</v>
      </c>
      <c r="H24" s="33">
        <v>950000</v>
      </c>
      <c r="I24" s="33">
        <v>950000</v>
      </c>
      <c r="J24" s="15">
        <f t="shared" si="0"/>
        <v>4750000</v>
      </c>
    </row>
    <row r="25" spans="1:10" ht="72">
      <c r="A25" s="63">
        <v>1</v>
      </c>
      <c r="B25" s="27" t="s">
        <v>335</v>
      </c>
      <c r="C25" s="60" t="s">
        <v>63</v>
      </c>
      <c r="D25" s="4" t="s">
        <v>58</v>
      </c>
      <c r="E25" s="33">
        <v>116400</v>
      </c>
      <c r="F25" s="33">
        <v>116400</v>
      </c>
      <c r="G25" s="33">
        <v>116400</v>
      </c>
      <c r="H25" s="33">
        <v>116400</v>
      </c>
      <c r="I25" s="33">
        <v>116400</v>
      </c>
      <c r="J25" s="15">
        <f t="shared" si="0"/>
        <v>582000</v>
      </c>
    </row>
    <row r="26" spans="1:10" ht="72">
      <c r="A26" s="63">
        <v>1</v>
      </c>
      <c r="B26" s="27" t="s">
        <v>335</v>
      </c>
      <c r="C26" s="60" t="s">
        <v>64</v>
      </c>
      <c r="D26" s="4" t="s">
        <v>58</v>
      </c>
      <c r="E26" s="33">
        <v>74900</v>
      </c>
      <c r="F26" s="33">
        <v>74900</v>
      </c>
      <c r="G26" s="33">
        <v>74900</v>
      </c>
      <c r="H26" s="33">
        <v>74900</v>
      </c>
      <c r="I26" s="33">
        <v>74900</v>
      </c>
      <c r="J26" s="15">
        <f t="shared" si="0"/>
        <v>374500</v>
      </c>
    </row>
    <row r="27" spans="1:10" ht="72">
      <c r="A27" s="63">
        <v>1</v>
      </c>
      <c r="B27" s="27" t="s">
        <v>335</v>
      </c>
      <c r="C27" s="60" t="s">
        <v>257</v>
      </c>
      <c r="D27" s="4" t="s">
        <v>58</v>
      </c>
      <c r="E27" s="33">
        <v>1090900</v>
      </c>
      <c r="F27" s="33">
        <v>1090900</v>
      </c>
      <c r="G27" s="33">
        <v>1090900</v>
      </c>
      <c r="H27" s="33">
        <v>1090900</v>
      </c>
      <c r="I27" s="33">
        <v>1090900</v>
      </c>
      <c r="J27" s="15">
        <f t="shared" si="0"/>
        <v>5454500</v>
      </c>
    </row>
    <row r="28" spans="1:10" ht="48">
      <c r="A28" s="63">
        <v>1</v>
      </c>
      <c r="B28" s="27" t="s">
        <v>335</v>
      </c>
      <c r="C28" s="60" t="s">
        <v>74</v>
      </c>
      <c r="D28" s="4" t="s">
        <v>58</v>
      </c>
      <c r="E28" s="33">
        <v>450000</v>
      </c>
      <c r="F28" s="33">
        <v>450000</v>
      </c>
      <c r="G28" s="33">
        <v>450000</v>
      </c>
      <c r="H28" s="33">
        <v>450000</v>
      </c>
      <c r="I28" s="33">
        <v>450000</v>
      </c>
      <c r="J28" s="15">
        <f t="shared" si="0"/>
        <v>2250000</v>
      </c>
    </row>
    <row r="29" spans="1:10" ht="24">
      <c r="A29" s="63">
        <v>1</v>
      </c>
      <c r="B29" s="27" t="s">
        <v>335</v>
      </c>
      <c r="C29" s="60" t="s">
        <v>307</v>
      </c>
      <c r="D29" s="4" t="s">
        <v>76</v>
      </c>
      <c r="E29" s="33">
        <f>ROUND(15275950,-2)</f>
        <v>15276000</v>
      </c>
      <c r="F29" s="33">
        <f>ROUND(16803545,-2)</f>
        <v>16803500</v>
      </c>
      <c r="G29" s="33">
        <f>ROUND(18483899.5,-2)</f>
        <v>18483900</v>
      </c>
      <c r="H29" s="33">
        <f>ROUND(20332289.45,-2)</f>
        <v>20332300</v>
      </c>
      <c r="I29" s="33">
        <f>ROUND(22365518.395,-2)</f>
        <v>22365500</v>
      </c>
      <c r="J29" s="15">
        <f t="shared" si="0"/>
        <v>93261200</v>
      </c>
    </row>
    <row r="30" spans="1:10" ht="48">
      <c r="A30" s="63">
        <v>1</v>
      </c>
      <c r="B30" s="27" t="s">
        <v>335</v>
      </c>
      <c r="C30" s="27" t="s">
        <v>339</v>
      </c>
      <c r="D30" s="4" t="s">
        <v>14</v>
      </c>
      <c r="E30" s="74">
        <f>696250+50</f>
        <v>696300</v>
      </c>
      <c r="F30" s="74">
        <v>750000</v>
      </c>
      <c r="G30" s="74">
        <v>800000</v>
      </c>
      <c r="H30" s="74">
        <v>850000</v>
      </c>
      <c r="I30" s="74">
        <v>900000</v>
      </c>
      <c r="J30" s="15">
        <f t="shared" si="0"/>
        <v>3996300</v>
      </c>
    </row>
    <row r="31" spans="1:10" ht="24">
      <c r="A31" s="63">
        <v>1</v>
      </c>
      <c r="B31" s="27" t="s">
        <v>335</v>
      </c>
      <c r="C31" s="72" t="s">
        <v>347</v>
      </c>
      <c r="D31" s="73" t="s">
        <v>14</v>
      </c>
      <c r="E31" s="33">
        <f>305660+40</f>
        <v>305700</v>
      </c>
      <c r="F31" s="33">
        <v>450000</v>
      </c>
      <c r="G31" s="33">
        <v>500000</v>
      </c>
      <c r="H31" s="33">
        <v>550000</v>
      </c>
      <c r="I31" s="33">
        <v>600000</v>
      </c>
      <c r="J31" s="15">
        <f t="shared" si="0"/>
        <v>2405700</v>
      </c>
    </row>
    <row r="32" spans="1:10" ht="48">
      <c r="A32" s="63">
        <v>1</v>
      </c>
      <c r="B32" s="27" t="s">
        <v>335</v>
      </c>
      <c r="C32" s="154" t="s">
        <v>382</v>
      </c>
      <c r="D32" s="4" t="s">
        <v>381</v>
      </c>
      <c r="E32" s="15">
        <f>ROUND(F32*0.9,-2)</f>
        <v>127465900</v>
      </c>
      <c r="F32" s="15">
        <f>81628800+60000000</f>
        <v>141628800</v>
      </c>
      <c r="G32" s="75">
        <f>ROUND(F32*0.1+F32,-2)</f>
        <v>155791700</v>
      </c>
      <c r="H32" s="75">
        <f>ROUND(G32*0.1+G32,-2)</f>
        <v>171370900</v>
      </c>
      <c r="I32" s="75">
        <f>ROUND(H32*0.1+H32,-2)</f>
        <v>188508000</v>
      </c>
      <c r="J32" s="15">
        <f t="shared" si="0"/>
        <v>784765300</v>
      </c>
    </row>
    <row r="33" spans="1:10" ht="120">
      <c r="A33" s="63">
        <v>1</v>
      </c>
      <c r="B33" s="27" t="s">
        <v>336</v>
      </c>
      <c r="C33" s="27" t="s">
        <v>25</v>
      </c>
      <c r="D33" s="161" t="s">
        <v>250</v>
      </c>
      <c r="E33" s="19">
        <v>4263000</v>
      </c>
      <c r="F33" s="19">
        <f>ROUND(4989906,-2)</f>
        <v>4989900</v>
      </c>
      <c r="G33" s="19">
        <f>ROUND(5722284,-2)</f>
        <v>5722300</v>
      </c>
      <c r="H33" s="19">
        <f>ROUND(6472284,-2)</f>
        <v>6472300</v>
      </c>
      <c r="I33" s="19">
        <f>ROUND(7222284,-2)</f>
        <v>7222300</v>
      </c>
      <c r="J33" s="15">
        <f t="shared" si="0"/>
        <v>28669800</v>
      </c>
    </row>
    <row r="34" spans="1:10" ht="120">
      <c r="A34" s="63">
        <v>1</v>
      </c>
      <c r="B34" s="27" t="s">
        <v>336</v>
      </c>
      <c r="C34" s="27" t="s">
        <v>26</v>
      </c>
      <c r="D34" s="4" t="s">
        <v>250</v>
      </c>
      <c r="E34" s="15">
        <v>50800000</v>
      </c>
      <c r="F34" s="15">
        <v>54800000</v>
      </c>
      <c r="G34" s="15">
        <v>69000000</v>
      </c>
      <c r="H34" s="15">
        <v>86200000</v>
      </c>
      <c r="I34" s="15">
        <v>92200000</v>
      </c>
      <c r="J34" s="15">
        <f t="shared" si="0"/>
        <v>353000000</v>
      </c>
    </row>
    <row r="35" spans="1:10" ht="120">
      <c r="A35" s="63">
        <v>1</v>
      </c>
      <c r="B35" s="27" t="s">
        <v>336</v>
      </c>
      <c r="C35" s="27" t="s">
        <v>28</v>
      </c>
      <c r="D35" s="4" t="s">
        <v>250</v>
      </c>
      <c r="E35" s="15">
        <v>500000</v>
      </c>
      <c r="F35" s="15">
        <v>500000</v>
      </c>
      <c r="G35" s="15">
        <v>500000</v>
      </c>
      <c r="H35" s="15">
        <v>500000</v>
      </c>
      <c r="I35" s="15">
        <v>500000</v>
      </c>
      <c r="J35" s="15">
        <f t="shared" si="0"/>
        <v>2500000</v>
      </c>
    </row>
    <row r="36" spans="1:10" ht="120">
      <c r="A36" s="63">
        <v>1</v>
      </c>
      <c r="B36" s="27" t="s">
        <v>336</v>
      </c>
      <c r="C36" s="27" t="s">
        <v>29</v>
      </c>
      <c r="D36" s="4" t="s">
        <v>250</v>
      </c>
      <c r="E36" s="15">
        <v>200000</v>
      </c>
      <c r="F36" s="15">
        <v>300000</v>
      </c>
      <c r="G36" s="15">
        <v>400000</v>
      </c>
      <c r="H36" s="15">
        <v>500000</v>
      </c>
      <c r="I36" s="15">
        <v>600000</v>
      </c>
      <c r="J36" s="15">
        <f t="shared" si="0"/>
        <v>2000000</v>
      </c>
    </row>
    <row r="37" spans="1:10" ht="120">
      <c r="A37" s="63">
        <v>1</v>
      </c>
      <c r="B37" s="27" t="s">
        <v>336</v>
      </c>
      <c r="C37" s="27" t="s">
        <v>30</v>
      </c>
      <c r="D37" s="4" t="s">
        <v>250</v>
      </c>
      <c r="E37" s="15">
        <v>1500000</v>
      </c>
      <c r="F37" s="15">
        <v>2000000</v>
      </c>
      <c r="G37" s="15">
        <v>2500000</v>
      </c>
      <c r="H37" s="15">
        <v>3000000</v>
      </c>
      <c r="I37" s="15">
        <v>3500000</v>
      </c>
      <c r="J37" s="15">
        <f t="shared" si="0"/>
        <v>12500000</v>
      </c>
    </row>
    <row r="38" spans="1:10" ht="120">
      <c r="A38" s="63">
        <v>1</v>
      </c>
      <c r="B38" s="27" t="s">
        <v>336</v>
      </c>
      <c r="C38" s="27" t="s">
        <v>251</v>
      </c>
      <c r="D38" s="4" t="s">
        <v>250</v>
      </c>
      <c r="E38" s="15">
        <v>600000</v>
      </c>
      <c r="F38" s="15">
        <v>700000</v>
      </c>
      <c r="G38" s="15">
        <v>800000</v>
      </c>
      <c r="H38" s="15">
        <v>900000</v>
      </c>
      <c r="I38" s="15">
        <v>1000000</v>
      </c>
      <c r="J38" s="15">
        <f t="shared" si="0"/>
        <v>4000000</v>
      </c>
    </row>
    <row r="39" spans="1:10" ht="120">
      <c r="A39" s="63">
        <v>1</v>
      </c>
      <c r="B39" s="27" t="s">
        <v>336</v>
      </c>
      <c r="C39" s="27" t="s">
        <v>33</v>
      </c>
      <c r="D39" s="4" t="s">
        <v>250</v>
      </c>
      <c r="E39" s="15">
        <v>50000</v>
      </c>
      <c r="F39" s="15">
        <v>70000</v>
      </c>
      <c r="G39" s="15">
        <v>90000</v>
      </c>
      <c r="H39" s="15">
        <v>110000</v>
      </c>
      <c r="I39" s="15">
        <v>130000</v>
      </c>
      <c r="J39" s="15">
        <f t="shared" si="0"/>
        <v>450000</v>
      </c>
    </row>
    <row r="40" spans="1:10" ht="120">
      <c r="A40" s="63">
        <v>1</v>
      </c>
      <c r="B40" s="27" t="s">
        <v>336</v>
      </c>
      <c r="C40" s="61" t="s">
        <v>255</v>
      </c>
      <c r="D40" s="4" t="s">
        <v>79</v>
      </c>
      <c r="E40" s="15">
        <f>ROUND(679708+30000+427000,-2)</f>
        <v>1136700</v>
      </c>
      <c r="F40" s="15">
        <f>ROUND(E40*5%+E40,-2)</f>
        <v>1193500</v>
      </c>
      <c r="G40" s="15">
        <f t="shared" ref="G40:I40" si="4">ROUND(F40*5%+F40,-2)</f>
        <v>1253200</v>
      </c>
      <c r="H40" s="15">
        <f t="shared" si="4"/>
        <v>1315900</v>
      </c>
      <c r="I40" s="15">
        <f t="shared" si="4"/>
        <v>1381700</v>
      </c>
      <c r="J40" s="15">
        <f t="shared" si="0"/>
        <v>6281000</v>
      </c>
    </row>
    <row r="41" spans="1:10" ht="120">
      <c r="A41" s="63">
        <v>1</v>
      </c>
      <c r="B41" s="27" t="s">
        <v>336</v>
      </c>
      <c r="C41" s="29" t="s">
        <v>128</v>
      </c>
      <c r="D41" s="4" t="s">
        <v>110</v>
      </c>
      <c r="E41" s="15">
        <v>300000</v>
      </c>
      <c r="F41" s="15">
        <v>330000</v>
      </c>
      <c r="G41" s="15">
        <v>363000</v>
      </c>
      <c r="H41" s="15">
        <v>399300</v>
      </c>
      <c r="I41" s="15">
        <v>439200</v>
      </c>
      <c r="J41" s="15">
        <f t="shared" si="0"/>
        <v>1831500</v>
      </c>
    </row>
    <row r="42" spans="1:10" ht="120">
      <c r="A42" s="63">
        <v>1</v>
      </c>
      <c r="B42" s="27" t="s">
        <v>336</v>
      </c>
      <c r="C42" s="29" t="s">
        <v>129</v>
      </c>
      <c r="D42" s="4" t="s">
        <v>110</v>
      </c>
      <c r="E42" s="15">
        <v>150000</v>
      </c>
      <c r="F42" s="15">
        <v>150000</v>
      </c>
      <c r="G42" s="15">
        <v>150000</v>
      </c>
      <c r="H42" s="15">
        <v>150000</v>
      </c>
      <c r="I42" s="15">
        <v>150000</v>
      </c>
      <c r="J42" s="15">
        <f t="shared" si="0"/>
        <v>750000</v>
      </c>
    </row>
    <row r="43" spans="1:10" ht="120">
      <c r="A43" s="63">
        <v>1</v>
      </c>
      <c r="B43" s="27" t="s">
        <v>336</v>
      </c>
      <c r="C43" s="29" t="s">
        <v>130</v>
      </c>
      <c r="D43" s="4" t="s">
        <v>110</v>
      </c>
      <c r="E43" s="15">
        <v>660000</v>
      </c>
      <c r="F43" s="15">
        <v>726000</v>
      </c>
      <c r="G43" s="15">
        <v>798600</v>
      </c>
      <c r="H43" s="15">
        <v>878500</v>
      </c>
      <c r="I43" s="15">
        <v>966300</v>
      </c>
      <c r="J43" s="15">
        <f t="shared" si="0"/>
        <v>4029400</v>
      </c>
    </row>
    <row r="44" spans="1:10" ht="120">
      <c r="A44" s="63">
        <v>1</v>
      </c>
      <c r="B44" s="27" t="s">
        <v>336</v>
      </c>
      <c r="C44" s="29" t="s">
        <v>131</v>
      </c>
      <c r="D44" s="4" t="s">
        <v>110</v>
      </c>
      <c r="E44" s="15">
        <v>100000</v>
      </c>
      <c r="F44" s="15">
        <v>100000</v>
      </c>
      <c r="G44" s="15">
        <v>100000</v>
      </c>
      <c r="H44" s="15">
        <v>100000</v>
      </c>
      <c r="I44" s="15">
        <v>100000</v>
      </c>
      <c r="J44" s="15">
        <f t="shared" si="0"/>
        <v>500000</v>
      </c>
    </row>
    <row r="45" spans="1:10" ht="120">
      <c r="A45" s="63">
        <v>1</v>
      </c>
      <c r="B45" s="27" t="s">
        <v>336</v>
      </c>
      <c r="C45" s="29" t="s">
        <v>132</v>
      </c>
      <c r="D45" s="4" t="s">
        <v>110</v>
      </c>
      <c r="E45" s="15">
        <v>59000</v>
      </c>
      <c r="F45" s="15">
        <v>0</v>
      </c>
      <c r="G45" s="15">
        <v>0</v>
      </c>
      <c r="H45" s="15">
        <v>0</v>
      </c>
      <c r="I45" s="15">
        <v>70000</v>
      </c>
      <c r="J45" s="15">
        <f t="shared" si="0"/>
        <v>129000</v>
      </c>
    </row>
    <row r="46" spans="1:10" ht="120">
      <c r="A46" s="63">
        <v>1</v>
      </c>
      <c r="B46" s="27" t="s">
        <v>336</v>
      </c>
      <c r="C46" s="29" t="s">
        <v>133</v>
      </c>
      <c r="D46" s="4" t="s">
        <v>110</v>
      </c>
      <c r="E46" s="15">
        <v>21500</v>
      </c>
      <c r="F46" s="15">
        <v>0</v>
      </c>
      <c r="G46" s="15">
        <v>0</v>
      </c>
      <c r="H46" s="15">
        <v>0</v>
      </c>
      <c r="I46" s="15">
        <v>30000</v>
      </c>
      <c r="J46" s="15">
        <f t="shared" si="0"/>
        <v>51500</v>
      </c>
    </row>
    <row r="47" spans="1:10" ht="120">
      <c r="A47" s="63">
        <v>1</v>
      </c>
      <c r="B47" s="27" t="s">
        <v>336</v>
      </c>
      <c r="C47" s="29" t="s">
        <v>134</v>
      </c>
      <c r="D47" s="4" t="s">
        <v>110</v>
      </c>
      <c r="E47" s="15">
        <v>1705600</v>
      </c>
      <c r="F47" s="15">
        <v>1876100</v>
      </c>
      <c r="G47" s="15">
        <v>2063700</v>
      </c>
      <c r="H47" s="15">
        <v>2270100</v>
      </c>
      <c r="I47" s="15">
        <v>2497100</v>
      </c>
      <c r="J47" s="15">
        <f t="shared" si="0"/>
        <v>10412600</v>
      </c>
    </row>
    <row r="48" spans="1:10" ht="120">
      <c r="A48" s="63">
        <v>1</v>
      </c>
      <c r="B48" s="27" t="s">
        <v>336</v>
      </c>
      <c r="C48" s="60" t="s">
        <v>65</v>
      </c>
      <c r="D48" s="4" t="s">
        <v>58</v>
      </c>
      <c r="E48" s="33">
        <v>300000</v>
      </c>
      <c r="F48" s="33">
        <v>300000</v>
      </c>
      <c r="G48" s="33">
        <v>300000</v>
      </c>
      <c r="H48" s="33">
        <v>300000</v>
      </c>
      <c r="I48" s="33">
        <v>300000</v>
      </c>
      <c r="J48" s="15">
        <f t="shared" si="0"/>
        <v>1500000</v>
      </c>
    </row>
    <row r="49" spans="1:10" ht="120">
      <c r="A49" s="63">
        <v>1</v>
      </c>
      <c r="B49" s="27" t="s">
        <v>336</v>
      </c>
      <c r="C49" s="60" t="s">
        <v>66</v>
      </c>
      <c r="D49" s="4" t="s">
        <v>58</v>
      </c>
      <c r="E49" s="33">
        <f>429705-5</f>
        <v>429700</v>
      </c>
      <c r="F49" s="33">
        <f>ROUND(429705,-2)</f>
        <v>429700</v>
      </c>
      <c r="G49" s="33">
        <f>ROUND(429705,-2)</f>
        <v>429700</v>
      </c>
      <c r="H49" s="33">
        <f t="shared" ref="H49:I49" si="5">ROUND(429705,-2)</f>
        <v>429700</v>
      </c>
      <c r="I49" s="33">
        <f t="shared" si="5"/>
        <v>429700</v>
      </c>
      <c r="J49" s="15">
        <f t="shared" si="0"/>
        <v>2148500</v>
      </c>
    </row>
    <row r="50" spans="1:10" ht="120">
      <c r="A50" s="63">
        <v>1</v>
      </c>
      <c r="B50" s="27" t="s">
        <v>336</v>
      </c>
      <c r="C50" s="60" t="s">
        <v>67</v>
      </c>
      <c r="D50" s="4" t="s">
        <v>58</v>
      </c>
      <c r="E50" s="33">
        <v>203800</v>
      </c>
      <c r="F50" s="33">
        <v>203800</v>
      </c>
      <c r="G50" s="33">
        <v>203800</v>
      </c>
      <c r="H50" s="33">
        <v>203800</v>
      </c>
      <c r="I50" s="33">
        <v>203800</v>
      </c>
      <c r="J50" s="15">
        <f t="shared" si="0"/>
        <v>1019000</v>
      </c>
    </row>
    <row r="51" spans="1:10" ht="120">
      <c r="A51" s="63">
        <v>1</v>
      </c>
      <c r="B51" s="27" t="s">
        <v>336</v>
      </c>
      <c r="C51" s="60" t="s">
        <v>291</v>
      </c>
      <c r="D51" s="4" t="s">
        <v>50</v>
      </c>
      <c r="E51" s="33">
        <v>32200</v>
      </c>
      <c r="F51" s="33">
        <v>40000</v>
      </c>
      <c r="G51" s="33">
        <v>40000</v>
      </c>
      <c r="H51" s="33">
        <v>40000</v>
      </c>
      <c r="I51" s="33">
        <v>40000</v>
      </c>
      <c r="J51" s="15">
        <f t="shared" si="0"/>
        <v>192200</v>
      </c>
    </row>
    <row r="52" spans="1:10" ht="120">
      <c r="A52" s="63">
        <v>1</v>
      </c>
      <c r="B52" s="27" t="s">
        <v>336</v>
      </c>
      <c r="C52" s="60" t="s">
        <v>293</v>
      </c>
      <c r="D52" s="4" t="s">
        <v>50</v>
      </c>
      <c r="E52" s="33">
        <v>2000</v>
      </c>
      <c r="F52" s="33">
        <v>15000</v>
      </c>
      <c r="G52" s="33">
        <v>20000</v>
      </c>
      <c r="H52" s="33">
        <v>20000</v>
      </c>
      <c r="I52" s="33">
        <v>20000</v>
      </c>
      <c r="J52" s="15">
        <f t="shared" si="0"/>
        <v>77000</v>
      </c>
    </row>
    <row r="53" spans="1:10" ht="120">
      <c r="A53" s="63">
        <v>1</v>
      </c>
      <c r="B53" s="27" t="s">
        <v>336</v>
      </c>
      <c r="C53" s="60" t="s">
        <v>55</v>
      </c>
      <c r="D53" s="4" t="s">
        <v>50</v>
      </c>
      <c r="E53" s="33">
        <v>0</v>
      </c>
      <c r="F53" s="33">
        <v>100000</v>
      </c>
      <c r="G53" s="33">
        <v>100000</v>
      </c>
      <c r="H53" s="33">
        <v>100000</v>
      </c>
      <c r="I53" s="33">
        <v>100000</v>
      </c>
      <c r="J53" s="15">
        <f t="shared" si="0"/>
        <v>400000</v>
      </c>
    </row>
    <row r="54" spans="1:10" ht="56.25" customHeight="1">
      <c r="A54" s="63">
        <v>1</v>
      </c>
      <c r="B54" s="27" t="s">
        <v>336</v>
      </c>
      <c r="C54" s="60" t="s">
        <v>310</v>
      </c>
      <c r="D54" s="4" t="s">
        <v>123</v>
      </c>
      <c r="E54" s="33">
        <v>3650000</v>
      </c>
      <c r="F54" s="33">
        <v>4245000</v>
      </c>
      <c r="G54" s="33">
        <f>ROUND(4860250,-2)</f>
        <v>4860300</v>
      </c>
      <c r="H54" s="33">
        <f>ROUND(5498787.5,-2)</f>
        <v>5498800</v>
      </c>
      <c r="I54" s="33">
        <f>ROUND(6164105.63,-2)</f>
        <v>6164100</v>
      </c>
      <c r="J54" s="15">
        <f t="shared" si="0"/>
        <v>24418200</v>
      </c>
    </row>
    <row r="55" spans="1:10" ht="56.25" customHeight="1">
      <c r="A55" s="63">
        <v>1</v>
      </c>
      <c r="B55" s="27" t="s">
        <v>336</v>
      </c>
      <c r="C55" s="46" t="s">
        <v>98</v>
      </c>
      <c r="D55" s="4" t="s">
        <v>97</v>
      </c>
      <c r="E55" s="33">
        <v>3995100</v>
      </c>
      <c r="F55" s="33">
        <v>4194900</v>
      </c>
      <c r="G55" s="33">
        <v>4404600</v>
      </c>
      <c r="H55" s="33">
        <v>4624900</v>
      </c>
      <c r="I55" s="33">
        <v>4856100</v>
      </c>
      <c r="J55" s="15">
        <f t="shared" si="0"/>
        <v>22075600</v>
      </c>
    </row>
    <row r="56" spans="1:10" ht="56.25" customHeight="1">
      <c r="A56" s="63">
        <v>1</v>
      </c>
      <c r="B56" s="27" t="s">
        <v>336</v>
      </c>
      <c r="C56" s="46" t="s">
        <v>99</v>
      </c>
      <c r="D56" s="4" t="s">
        <v>97</v>
      </c>
      <c r="E56" s="33">
        <v>500000</v>
      </c>
      <c r="F56" s="33">
        <v>525000</v>
      </c>
      <c r="G56" s="33">
        <v>551250</v>
      </c>
      <c r="H56" s="33">
        <v>578800</v>
      </c>
      <c r="I56" s="33">
        <v>607800</v>
      </c>
      <c r="J56" s="15">
        <f t="shared" si="0"/>
        <v>2762850</v>
      </c>
    </row>
    <row r="57" spans="1:10" ht="56.25" customHeight="1">
      <c r="A57" s="63">
        <v>1</v>
      </c>
      <c r="B57" s="27" t="s">
        <v>336</v>
      </c>
      <c r="C57" s="46" t="s">
        <v>100</v>
      </c>
      <c r="D57" s="4" t="s">
        <v>97</v>
      </c>
      <c r="E57" s="33">
        <v>53000</v>
      </c>
      <c r="F57" s="33">
        <f>55650+50</f>
        <v>55700</v>
      </c>
      <c r="G57" s="33">
        <v>58500</v>
      </c>
      <c r="H57" s="33">
        <v>61500</v>
      </c>
      <c r="I57" s="33">
        <v>64600</v>
      </c>
      <c r="J57" s="15">
        <f t="shared" si="0"/>
        <v>293300</v>
      </c>
    </row>
    <row r="58" spans="1:10" ht="88.5" customHeight="1">
      <c r="A58" s="63">
        <v>1</v>
      </c>
      <c r="B58" s="27" t="s">
        <v>336</v>
      </c>
      <c r="C58" s="27" t="s">
        <v>101</v>
      </c>
      <c r="D58" s="4" t="s">
        <v>97</v>
      </c>
      <c r="E58" s="33">
        <v>1332000</v>
      </c>
      <c r="F58" s="33">
        <v>1398600</v>
      </c>
      <c r="G58" s="33">
        <v>1468600</v>
      </c>
      <c r="H58" s="33">
        <v>1543000</v>
      </c>
      <c r="I58" s="33">
        <v>1621000</v>
      </c>
      <c r="J58" s="15">
        <f t="shared" si="0"/>
        <v>7363200</v>
      </c>
    </row>
    <row r="59" spans="1:10" ht="111.75" customHeight="1">
      <c r="A59" s="63">
        <v>1</v>
      </c>
      <c r="B59" s="27" t="s">
        <v>336</v>
      </c>
      <c r="C59" s="27" t="s">
        <v>280</v>
      </c>
      <c r="D59" s="4" t="s">
        <v>21</v>
      </c>
      <c r="E59" s="33">
        <v>5310000</v>
      </c>
      <c r="F59" s="33">
        <v>5390000</v>
      </c>
      <c r="G59" s="33">
        <v>5140000</v>
      </c>
      <c r="H59" s="33">
        <v>5170000</v>
      </c>
      <c r="I59" s="33">
        <v>5560000</v>
      </c>
      <c r="J59" s="15">
        <f t="shared" si="0"/>
        <v>26570000</v>
      </c>
    </row>
    <row r="60" spans="1:10" ht="111.75" customHeight="1">
      <c r="A60" s="63">
        <v>1</v>
      </c>
      <c r="B60" s="27" t="s">
        <v>336</v>
      </c>
      <c r="C60" s="27" t="s">
        <v>340</v>
      </c>
      <c r="D60" s="4" t="s">
        <v>14</v>
      </c>
      <c r="E60" s="33">
        <v>138500</v>
      </c>
      <c r="F60" s="33">
        <v>150000</v>
      </c>
      <c r="G60" s="33">
        <v>170000</v>
      </c>
      <c r="H60" s="33">
        <v>200000</v>
      </c>
      <c r="I60" s="33">
        <v>220000</v>
      </c>
      <c r="J60" s="15">
        <f t="shared" si="0"/>
        <v>878500</v>
      </c>
    </row>
    <row r="61" spans="1:10" ht="111.75" customHeight="1">
      <c r="A61" s="63">
        <v>1</v>
      </c>
      <c r="B61" s="27" t="s">
        <v>336</v>
      </c>
      <c r="C61" s="27" t="s">
        <v>89</v>
      </c>
      <c r="D61" s="4" t="s">
        <v>14</v>
      </c>
      <c r="E61" s="33">
        <v>365000</v>
      </c>
      <c r="F61" s="33">
        <v>400000</v>
      </c>
      <c r="G61" s="33">
        <v>450000</v>
      </c>
      <c r="H61" s="33">
        <v>500000</v>
      </c>
      <c r="I61" s="33">
        <v>550000</v>
      </c>
      <c r="J61" s="15">
        <f t="shared" si="0"/>
        <v>2265000</v>
      </c>
    </row>
    <row r="62" spans="1:10" ht="111.75" customHeight="1">
      <c r="A62" s="63">
        <v>1</v>
      </c>
      <c r="B62" s="27" t="s">
        <v>336</v>
      </c>
      <c r="C62" s="27" t="s">
        <v>341</v>
      </c>
      <c r="D62" s="4" t="s">
        <v>14</v>
      </c>
      <c r="E62" s="74">
        <v>61000</v>
      </c>
      <c r="F62" s="74">
        <v>80000</v>
      </c>
      <c r="G62" s="74">
        <v>100000</v>
      </c>
      <c r="H62" s="74">
        <v>150000</v>
      </c>
      <c r="I62" s="74">
        <v>200000</v>
      </c>
      <c r="J62" s="15">
        <f t="shared" si="0"/>
        <v>591000</v>
      </c>
    </row>
    <row r="63" spans="1:10" ht="88.5" customHeight="1">
      <c r="A63" s="63">
        <v>1</v>
      </c>
      <c r="B63" s="27" t="s">
        <v>336</v>
      </c>
      <c r="C63" s="27" t="s">
        <v>348</v>
      </c>
      <c r="D63" s="73" t="s">
        <v>14</v>
      </c>
      <c r="E63" s="76">
        <v>294600</v>
      </c>
      <c r="F63" s="76">
        <v>350000</v>
      </c>
      <c r="G63" s="76">
        <v>400000</v>
      </c>
      <c r="H63" s="76">
        <v>450000</v>
      </c>
      <c r="I63" s="76">
        <v>500000</v>
      </c>
      <c r="J63" s="15">
        <f t="shared" si="0"/>
        <v>1994600</v>
      </c>
    </row>
    <row r="64" spans="1:10" ht="102" customHeight="1">
      <c r="A64" s="64">
        <v>2</v>
      </c>
      <c r="B64" s="61" t="s">
        <v>96</v>
      </c>
      <c r="C64" s="27" t="s">
        <v>324</v>
      </c>
      <c r="D64" s="4" t="s">
        <v>250</v>
      </c>
      <c r="E64" s="15">
        <v>1545000</v>
      </c>
      <c r="F64" s="15">
        <v>1700000</v>
      </c>
      <c r="G64" s="15">
        <v>1900000</v>
      </c>
      <c r="H64" s="15">
        <v>2100000</v>
      </c>
      <c r="I64" s="15">
        <v>2300000</v>
      </c>
      <c r="J64" s="15">
        <f t="shared" si="0"/>
        <v>9545000</v>
      </c>
    </row>
    <row r="65" spans="1:10" ht="71.25" customHeight="1">
      <c r="A65" s="64">
        <v>2</v>
      </c>
      <c r="B65" s="61" t="s">
        <v>96</v>
      </c>
      <c r="C65" s="13" t="s">
        <v>35</v>
      </c>
      <c r="D65" s="4" t="s">
        <v>250</v>
      </c>
      <c r="E65" s="15">
        <v>200000</v>
      </c>
      <c r="F65" s="15">
        <v>300000</v>
      </c>
      <c r="G65" s="15">
        <v>400000</v>
      </c>
      <c r="H65" s="15">
        <v>500000</v>
      </c>
      <c r="I65" s="15">
        <v>600000</v>
      </c>
      <c r="J65" s="15">
        <f t="shared" si="0"/>
        <v>2000000</v>
      </c>
    </row>
    <row r="66" spans="1:10" ht="51" customHeight="1">
      <c r="A66" s="64">
        <v>2</v>
      </c>
      <c r="B66" s="61" t="s">
        <v>96</v>
      </c>
      <c r="C66" s="13" t="s">
        <v>36</v>
      </c>
      <c r="D66" s="4" t="s">
        <v>250</v>
      </c>
      <c r="E66" s="15">
        <f>4810888+12</f>
        <v>4810900</v>
      </c>
      <c r="F66" s="15">
        <v>6000000</v>
      </c>
      <c r="G66" s="15">
        <v>7500000</v>
      </c>
      <c r="H66" s="15">
        <v>9000000</v>
      </c>
      <c r="I66" s="15">
        <v>10500000</v>
      </c>
      <c r="J66" s="15">
        <f t="shared" si="0"/>
        <v>37810900</v>
      </c>
    </row>
    <row r="67" spans="1:10" ht="51" customHeight="1">
      <c r="A67" s="64">
        <v>2</v>
      </c>
      <c r="B67" s="61" t="s">
        <v>96</v>
      </c>
      <c r="C67" s="61" t="s">
        <v>80</v>
      </c>
      <c r="D67" s="4" t="s">
        <v>79</v>
      </c>
      <c r="E67" s="15">
        <v>32200</v>
      </c>
      <c r="F67" s="15">
        <f>ROUND(E67*5%+E67,-2)</f>
        <v>33800</v>
      </c>
      <c r="G67" s="15">
        <f t="shared" ref="G67:I67" si="6">ROUND(F67*5%+F67,-2)</f>
        <v>35500</v>
      </c>
      <c r="H67" s="15">
        <f t="shared" si="6"/>
        <v>37300</v>
      </c>
      <c r="I67" s="15">
        <f t="shared" si="6"/>
        <v>39200</v>
      </c>
      <c r="J67" s="15">
        <f t="shared" si="0"/>
        <v>178000</v>
      </c>
    </row>
    <row r="68" spans="1:10" ht="51" customHeight="1">
      <c r="A68" s="64">
        <v>2</v>
      </c>
      <c r="B68" s="61" t="s">
        <v>96</v>
      </c>
      <c r="C68" s="60" t="s">
        <v>68</v>
      </c>
      <c r="D68" s="4" t="s">
        <v>58</v>
      </c>
      <c r="E68" s="33">
        <v>710000</v>
      </c>
      <c r="F68" s="33">
        <v>710000</v>
      </c>
      <c r="G68" s="33">
        <v>710000</v>
      </c>
      <c r="H68" s="33">
        <v>710000</v>
      </c>
      <c r="I68" s="33">
        <v>710000</v>
      </c>
      <c r="J68" s="15">
        <f t="shared" si="0"/>
        <v>3550000</v>
      </c>
    </row>
    <row r="69" spans="1:10" ht="51" customHeight="1">
      <c r="A69" s="64">
        <v>2</v>
      </c>
      <c r="B69" s="61" t="s">
        <v>96</v>
      </c>
      <c r="C69" s="60" t="s">
        <v>325</v>
      </c>
      <c r="D69" s="4" t="s">
        <v>50</v>
      </c>
      <c r="E69" s="33">
        <v>0</v>
      </c>
      <c r="F69" s="33">
        <v>30000</v>
      </c>
      <c r="G69" s="33">
        <v>30000</v>
      </c>
      <c r="H69" s="33">
        <v>35000</v>
      </c>
      <c r="I69" s="33">
        <v>35000</v>
      </c>
      <c r="J69" s="15">
        <f t="shared" si="0"/>
        <v>130000</v>
      </c>
    </row>
    <row r="70" spans="1:10" ht="51" customHeight="1">
      <c r="A70" s="64">
        <v>2</v>
      </c>
      <c r="B70" s="61" t="s">
        <v>96</v>
      </c>
      <c r="C70" s="60" t="s">
        <v>308</v>
      </c>
      <c r="D70" s="4" t="s">
        <v>76</v>
      </c>
      <c r="E70" s="33">
        <v>22070000</v>
      </c>
      <c r="F70" s="33">
        <v>24277000</v>
      </c>
      <c r="G70" s="33">
        <v>26704700</v>
      </c>
      <c r="H70" s="33">
        <f>ROUND(29375170,-2)</f>
        <v>29375200</v>
      </c>
      <c r="I70" s="33">
        <f>ROUND(32312687,-2)</f>
        <v>32312700</v>
      </c>
      <c r="J70" s="15">
        <f t="shared" ref="J70:J133" si="7">SUM(E70:I70)</f>
        <v>134739600</v>
      </c>
    </row>
    <row r="71" spans="1:10" ht="51" customHeight="1">
      <c r="A71" s="64">
        <v>2</v>
      </c>
      <c r="B71" s="61" t="s">
        <v>96</v>
      </c>
      <c r="C71" s="27" t="s">
        <v>311</v>
      </c>
      <c r="D71" s="4" t="s">
        <v>123</v>
      </c>
      <c r="E71" s="33">
        <v>170000</v>
      </c>
      <c r="F71" s="33">
        <v>240000</v>
      </c>
      <c r="G71" s="33">
        <v>310000</v>
      </c>
      <c r="H71" s="33">
        <v>380000</v>
      </c>
      <c r="I71" s="33">
        <v>450000</v>
      </c>
      <c r="J71" s="15">
        <f t="shared" si="7"/>
        <v>1550000</v>
      </c>
    </row>
    <row r="72" spans="1:10" ht="51" customHeight="1">
      <c r="A72" s="64">
        <v>2</v>
      </c>
      <c r="B72" s="61" t="s">
        <v>96</v>
      </c>
      <c r="C72" s="27" t="s">
        <v>311</v>
      </c>
      <c r="D72" s="4" t="s">
        <v>21</v>
      </c>
      <c r="E72" s="33">
        <v>1890000</v>
      </c>
      <c r="F72" s="33">
        <v>1700000</v>
      </c>
      <c r="G72" s="33">
        <v>1890000</v>
      </c>
      <c r="H72" s="33">
        <v>1700000</v>
      </c>
      <c r="I72" s="33">
        <v>1890000</v>
      </c>
      <c r="J72" s="15">
        <f t="shared" si="7"/>
        <v>9070000</v>
      </c>
    </row>
    <row r="73" spans="1:10" ht="51" customHeight="1">
      <c r="A73" s="64">
        <v>2</v>
      </c>
      <c r="B73" s="61" t="s">
        <v>96</v>
      </c>
      <c r="C73" s="27" t="s">
        <v>313</v>
      </c>
      <c r="D73" s="4" t="s">
        <v>94</v>
      </c>
      <c r="E73" s="33">
        <v>15000000</v>
      </c>
      <c r="F73" s="33">
        <v>15000000</v>
      </c>
      <c r="G73" s="33">
        <v>16000000</v>
      </c>
      <c r="H73" s="33">
        <v>16000000</v>
      </c>
      <c r="I73" s="33">
        <v>17000000</v>
      </c>
      <c r="J73" s="15">
        <f t="shared" si="7"/>
        <v>79000000</v>
      </c>
    </row>
    <row r="74" spans="1:10" ht="51" customHeight="1">
      <c r="A74" s="64">
        <v>2</v>
      </c>
      <c r="B74" s="61" t="s">
        <v>96</v>
      </c>
      <c r="C74" s="27" t="s">
        <v>342</v>
      </c>
      <c r="D74" s="4" t="s">
        <v>14</v>
      </c>
      <c r="E74" s="33">
        <v>155000</v>
      </c>
      <c r="F74" s="33">
        <v>250000</v>
      </c>
      <c r="G74" s="33">
        <v>300000</v>
      </c>
      <c r="H74" s="33">
        <v>350000</v>
      </c>
      <c r="I74" s="33">
        <v>400000</v>
      </c>
      <c r="J74" s="15">
        <f t="shared" si="7"/>
        <v>1455000</v>
      </c>
    </row>
    <row r="75" spans="1:10" ht="51.75" customHeight="1">
      <c r="A75" s="5">
        <v>3</v>
      </c>
      <c r="B75" s="61" t="s">
        <v>16</v>
      </c>
      <c r="C75" s="13" t="s">
        <v>37</v>
      </c>
      <c r="D75" s="4" t="s">
        <v>250</v>
      </c>
      <c r="E75" s="15">
        <v>200000</v>
      </c>
      <c r="F75" s="15">
        <v>250000</v>
      </c>
      <c r="G75" s="15">
        <v>300000</v>
      </c>
      <c r="H75" s="15">
        <v>350000</v>
      </c>
      <c r="I75" s="15">
        <v>400000</v>
      </c>
      <c r="J75" s="15">
        <f t="shared" si="7"/>
        <v>1500000</v>
      </c>
    </row>
    <row r="76" spans="1:10" ht="51.75" customHeight="1">
      <c r="A76" s="5">
        <v>3</v>
      </c>
      <c r="B76" s="61" t="s">
        <v>16</v>
      </c>
      <c r="C76" s="37" t="s">
        <v>81</v>
      </c>
      <c r="D76" s="4" t="s">
        <v>79</v>
      </c>
      <c r="E76" s="15">
        <v>81600</v>
      </c>
      <c r="F76" s="15">
        <f>ROUND(E76*5%+E76,-2)</f>
        <v>85700</v>
      </c>
      <c r="G76" s="15">
        <f t="shared" ref="G76:I76" si="8">ROUND(F76*5%+F76,-2)</f>
        <v>90000</v>
      </c>
      <c r="H76" s="15">
        <f t="shared" si="8"/>
        <v>94500</v>
      </c>
      <c r="I76" s="15">
        <f t="shared" si="8"/>
        <v>99200</v>
      </c>
      <c r="J76" s="15">
        <f t="shared" si="7"/>
        <v>451000</v>
      </c>
    </row>
    <row r="77" spans="1:10" ht="51.75" customHeight="1">
      <c r="A77" s="5">
        <v>3</v>
      </c>
      <c r="B77" s="61" t="s">
        <v>16</v>
      </c>
      <c r="C77" s="29" t="s">
        <v>135</v>
      </c>
      <c r="D77" s="4" t="s">
        <v>110</v>
      </c>
      <c r="E77" s="15">
        <v>50000</v>
      </c>
      <c r="F77" s="15">
        <v>50000</v>
      </c>
      <c r="G77" s="15">
        <v>50000</v>
      </c>
      <c r="H77" s="15">
        <v>50000</v>
      </c>
      <c r="I77" s="15">
        <v>50000</v>
      </c>
      <c r="J77" s="15">
        <f t="shared" si="7"/>
        <v>250000</v>
      </c>
    </row>
    <row r="78" spans="1:10" ht="51.75" customHeight="1">
      <c r="A78" s="5">
        <v>3</v>
      </c>
      <c r="B78" s="61" t="s">
        <v>16</v>
      </c>
      <c r="C78" s="29" t="s">
        <v>186</v>
      </c>
      <c r="D78" s="4" t="s">
        <v>110</v>
      </c>
      <c r="E78" s="15">
        <v>100000</v>
      </c>
      <c r="F78" s="15">
        <v>100000</v>
      </c>
      <c r="G78" s="15">
        <v>100000</v>
      </c>
      <c r="H78" s="15">
        <v>100000</v>
      </c>
      <c r="I78" s="15">
        <v>100000</v>
      </c>
      <c r="J78" s="15">
        <f t="shared" si="7"/>
        <v>500000</v>
      </c>
    </row>
    <row r="79" spans="1:10" ht="51.75" customHeight="1">
      <c r="A79" s="5">
        <v>3</v>
      </c>
      <c r="B79" s="61" t="s">
        <v>16</v>
      </c>
      <c r="C79" s="29" t="s">
        <v>136</v>
      </c>
      <c r="D79" s="4" t="s">
        <v>110</v>
      </c>
      <c r="E79" s="15">
        <v>440000</v>
      </c>
      <c r="F79" s="15">
        <v>500000</v>
      </c>
      <c r="G79" s="15">
        <v>500000</v>
      </c>
      <c r="H79" s="15">
        <v>500000</v>
      </c>
      <c r="I79" s="15">
        <v>500000</v>
      </c>
      <c r="J79" s="15">
        <f t="shared" si="7"/>
        <v>2440000</v>
      </c>
    </row>
    <row r="80" spans="1:10" ht="51.75" customHeight="1">
      <c r="A80" s="5">
        <v>3</v>
      </c>
      <c r="B80" s="61" t="s">
        <v>16</v>
      </c>
      <c r="C80" s="29" t="s">
        <v>137</v>
      </c>
      <c r="D80" s="4" t="s">
        <v>110</v>
      </c>
      <c r="E80" s="15">
        <v>80000</v>
      </c>
      <c r="F80" s="15">
        <v>200000</v>
      </c>
      <c r="G80" s="15">
        <v>200000</v>
      </c>
      <c r="H80" s="15">
        <v>200000</v>
      </c>
      <c r="I80" s="15">
        <v>200000</v>
      </c>
      <c r="J80" s="15">
        <f t="shared" si="7"/>
        <v>880000</v>
      </c>
    </row>
    <row r="81" spans="1:10" ht="51.75" customHeight="1">
      <c r="A81" s="5">
        <v>3</v>
      </c>
      <c r="B81" s="61" t="s">
        <v>16</v>
      </c>
      <c r="C81" s="29" t="s">
        <v>138</v>
      </c>
      <c r="D81" s="4" t="s">
        <v>110</v>
      </c>
      <c r="E81" s="15">
        <v>50000</v>
      </c>
      <c r="F81" s="15">
        <v>50000</v>
      </c>
      <c r="G81" s="15">
        <v>50000</v>
      </c>
      <c r="H81" s="15">
        <v>50000</v>
      </c>
      <c r="I81" s="15">
        <v>50000</v>
      </c>
      <c r="J81" s="15">
        <f t="shared" si="7"/>
        <v>250000</v>
      </c>
    </row>
    <row r="82" spans="1:10" ht="51.75" customHeight="1">
      <c r="A82" s="5">
        <v>3</v>
      </c>
      <c r="B82" s="61" t="s">
        <v>16</v>
      </c>
      <c r="C82" s="29" t="s">
        <v>139</v>
      </c>
      <c r="D82" s="4" t="s">
        <v>110</v>
      </c>
      <c r="E82" s="15">
        <v>647500</v>
      </c>
      <c r="F82" s="15">
        <v>712300</v>
      </c>
      <c r="G82" s="15">
        <v>783500</v>
      </c>
      <c r="H82" s="15">
        <v>861800</v>
      </c>
      <c r="I82" s="15">
        <v>948000</v>
      </c>
      <c r="J82" s="15">
        <f t="shared" si="7"/>
        <v>3953100</v>
      </c>
    </row>
    <row r="83" spans="1:10" ht="51.75" customHeight="1">
      <c r="A83" s="5">
        <v>3</v>
      </c>
      <c r="B83" s="61" t="s">
        <v>16</v>
      </c>
      <c r="C83" s="60" t="s">
        <v>69</v>
      </c>
      <c r="D83" s="4" t="s">
        <v>58</v>
      </c>
      <c r="E83" s="33">
        <v>60000</v>
      </c>
      <c r="F83" s="33">
        <v>60000</v>
      </c>
      <c r="G83" s="33">
        <v>60000</v>
      </c>
      <c r="H83" s="33">
        <v>60000</v>
      </c>
      <c r="I83" s="33">
        <v>60000</v>
      </c>
      <c r="J83" s="15">
        <f t="shared" si="7"/>
        <v>300000</v>
      </c>
    </row>
    <row r="84" spans="1:10" ht="51.75" customHeight="1">
      <c r="A84" s="5">
        <v>3</v>
      </c>
      <c r="B84" s="61" t="s">
        <v>16</v>
      </c>
      <c r="C84" s="60" t="s">
        <v>309</v>
      </c>
      <c r="D84" s="4" t="s">
        <v>76</v>
      </c>
      <c r="E84" s="33">
        <v>1463500</v>
      </c>
      <c r="F84" s="33">
        <f>ROUND(1609850,-2)</f>
        <v>1609900</v>
      </c>
      <c r="G84" s="33">
        <f>ROUND(1770835,-2)</f>
        <v>1770800</v>
      </c>
      <c r="H84" s="33">
        <f>ROUND(1947918.5,-2)</f>
        <v>1947900</v>
      </c>
      <c r="I84" s="33">
        <f>ROUND(2142710.35,-2)</f>
        <v>2142700</v>
      </c>
      <c r="J84" s="15">
        <f t="shared" si="7"/>
        <v>8934800</v>
      </c>
    </row>
    <row r="85" spans="1:10" ht="51.75" customHeight="1">
      <c r="A85" s="5">
        <v>3</v>
      </c>
      <c r="B85" s="61" t="s">
        <v>16</v>
      </c>
      <c r="C85" s="60" t="s">
        <v>84</v>
      </c>
      <c r="D85" s="4" t="s">
        <v>123</v>
      </c>
      <c r="E85" s="33">
        <v>700000</v>
      </c>
      <c r="F85" s="33">
        <v>700000</v>
      </c>
      <c r="G85" s="33">
        <v>700000</v>
      </c>
      <c r="H85" s="33">
        <v>700000</v>
      </c>
      <c r="I85" s="33">
        <v>700000</v>
      </c>
      <c r="J85" s="15">
        <f t="shared" si="7"/>
        <v>3500000</v>
      </c>
    </row>
    <row r="86" spans="1:10" ht="51.75" customHeight="1">
      <c r="A86" s="5">
        <v>3</v>
      </c>
      <c r="B86" s="61" t="s">
        <v>16</v>
      </c>
      <c r="C86" s="60" t="s">
        <v>327</v>
      </c>
      <c r="D86" s="4" t="s">
        <v>21</v>
      </c>
      <c r="E86" s="33">
        <v>2381000</v>
      </c>
      <c r="F86" s="33">
        <v>2371000</v>
      </c>
      <c r="G86" s="33">
        <v>2381000</v>
      </c>
      <c r="H86" s="33">
        <v>2371000</v>
      </c>
      <c r="I86" s="33">
        <v>2381000</v>
      </c>
      <c r="J86" s="15">
        <f t="shared" si="7"/>
        <v>11885000</v>
      </c>
    </row>
    <row r="87" spans="1:10" ht="51.75" customHeight="1">
      <c r="A87" s="5">
        <v>3</v>
      </c>
      <c r="B87" s="61" t="s">
        <v>16</v>
      </c>
      <c r="C87" s="13" t="s">
        <v>343</v>
      </c>
      <c r="D87" s="4" t="s">
        <v>14</v>
      </c>
      <c r="E87" s="33">
        <v>138000</v>
      </c>
      <c r="F87" s="33">
        <v>150000</v>
      </c>
      <c r="G87" s="33">
        <v>200000</v>
      </c>
      <c r="H87" s="33">
        <v>220000</v>
      </c>
      <c r="I87" s="33">
        <v>250000</v>
      </c>
      <c r="J87" s="15">
        <f t="shared" si="7"/>
        <v>958000</v>
      </c>
    </row>
    <row r="88" spans="1:10" ht="48" customHeight="1">
      <c r="A88" s="5">
        <v>3</v>
      </c>
      <c r="B88" s="61" t="s">
        <v>314</v>
      </c>
      <c r="C88" s="29" t="s">
        <v>281</v>
      </c>
      <c r="D88" s="4" t="s">
        <v>56</v>
      </c>
      <c r="E88" s="15">
        <v>906000</v>
      </c>
      <c r="F88" s="15">
        <v>1000000</v>
      </c>
      <c r="G88" s="15">
        <v>1100000</v>
      </c>
      <c r="H88" s="15">
        <v>1200000</v>
      </c>
      <c r="I88" s="15">
        <v>1300000</v>
      </c>
      <c r="J88" s="15">
        <f t="shared" si="7"/>
        <v>5506000</v>
      </c>
    </row>
    <row r="89" spans="1:10" ht="48" customHeight="1">
      <c r="A89" s="5">
        <v>3</v>
      </c>
      <c r="B89" s="61" t="s">
        <v>314</v>
      </c>
      <c r="C89" s="36" t="s">
        <v>140</v>
      </c>
      <c r="D89" s="4" t="s">
        <v>110</v>
      </c>
      <c r="E89" s="15">
        <v>2455800</v>
      </c>
      <c r="F89" s="15">
        <v>10881200</v>
      </c>
      <c r="G89" s="15">
        <v>11969400</v>
      </c>
      <c r="H89" s="15">
        <v>13166300</v>
      </c>
      <c r="I89" s="15">
        <v>14482900</v>
      </c>
      <c r="J89" s="15">
        <f t="shared" si="7"/>
        <v>52955600</v>
      </c>
    </row>
    <row r="90" spans="1:10" ht="48" customHeight="1">
      <c r="A90" s="5">
        <v>3</v>
      </c>
      <c r="B90" s="61" t="s">
        <v>314</v>
      </c>
      <c r="C90" s="60" t="s">
        <v>69</v>
      </c>
      <c r="D90" s="4" t="s">
        <v>58</v>
      </c>
      <c r="E90" s="33">
        <v>60000</v>
      </c>
      <c r="F90" s="33">
        <v>60000</v>
      </c>
      <c r="G90" s="33">
        <v>60000</v>
      </c>
      <c r="H90" s="33">
        <v>60000</v>
      </c>
      <c r="I90" s="33">
        <v>60000</v>
      </c>
      <c r="J90" s="15">
        <f t="shared" si="7"/>
        <v>300000</v>
      </c>
    </row>
    <row r="91" spans="1:10" ht="48" customHeight="1">
      <c r="A91" s="5">
        <v>3</v>
      </c>
      <c r="B91" s="61" t="s">
        <v>314</v>
      </c>
      <c r="C91" s="60" t="s">
        <v>53</v>
      </c>
      <c r="D91" s="4" t="s">
        <v>50</v>
      </c>
      <c r="E91" s="33">
        <v>30000</v>
      </c>
      <c r="F91" s="33">
        <v>150000</v>
      </c>
      <c r="G91" s="33">
        <v>200000</v>
      </c>
      <c r="H91" s="33">
        <v>250000</v>
      </c>
      <c r="I91" s="33">
        <v>300000</v>
      </c>
      <c r="J91" s="15">
        <f t="shared" si="7"/>
        <v>930000</v>
      </c>
    </row>
    <row r="92" spans="1:10" ht="98.25" customHeight="1">
      <c r="A92" s="5">
        <v>3</v>
      </c>
      <c r="B92" s="61" t="s">
        <v>314</v>
      </c>
      <c r="C92" s="36" t="s">
        <v>85</v>
      </c>
      <c r="D92" s="4" t="s">
        <v>123</v>
      </c>
      <c r="E92" s="33">
        <v>300000</v>
      </c>
      <c r="F92" s="33">
        <v>300000</v>
      </c>
      <c r="G92" s="33">
        <v>300000</v>
      </c>
      <c r="H92" s="33">
        <v>300000</v>
      </c>
      <c r="I92" s="33">
        <v>300000</v>
      </c>
      <c r="J92" s="15">
        <f t="shared" si="7"/>
        <v>1500000</v>
      </c>
    </row>
    <row r="93" spans="1:10" ht="55.5" customHeight="1">
      <c r="A93" s="5">
        <v>3</v>
      </c>
      <c r="B93" s="61" t="s">
        <v>314</v>
      </c>
      <c r="C93" s="61" t="s">
        <v>314</v>
      </c>
      <c r="D93" s="4" t="s">
        <v>21</v>
      </c>
      <c r="E93" s="33">
        <v>2000000</v>
      </c>
      <c r="F93" s="33">
        <v>2000000</v>
      </c>
      <c r="G93" s="33">
        <v>2000000</v>
      </c>
      <c r="H93" s="33">
        <v>2000000</v>
      </c>
      <c r="I93" s="33">
        <v>2000000</v>
      </c>
      <c r="J93" s="15">
        <f t="shared" si="7"/>
        <v>10000000</v>
      </c>
    </row>
    <row r="94" spans="1:10" ht="48" customHeight="1">
      <c r="A94" s="5">
        <v>3</v>
      </c>
      <c r="B94" s="61" t="s">
        <v>314</v>
      </c>
      <c r="C94" s="61" t="s">
        <v>314</v>
      </c>
      <c r="D94" s="4" t="s">
        <v>94</v>
      </c>
      <c r="E94" s="33">
        <v>1500000</v>
      </c>
      <c r="F94" s="33">
        <v>1550000</v>
      </c>
      <c r="G94" s="33">
        <v>1600000</v>
      </c>
      <c r="H94" s="33">
        <v>1650000</v>
      </c>
      <c r="I94" s="33">
        <v>1700000</v>
      </c>
      <c r="J94" s="15">
        <f t="shared" si="7"/>
        <v>8000000</v>
      </c>
    </row>
    <row r="95" spans="1:10" ht="51.75" customHeight="1">
      <c r="A95" s="5">
        <v>3</v>
      </c>
      <c r="B95" s="61" t="s">
        <v>141</v>
      </c>
      <c r="C95" s="29" t="s">
        <v>282</v>
      </c>
      <c r="D95" s="4" t="s">
        <v>56</v>
      </c>
      <c r="E95" s="15">
        <f>282150+50</f>
        <v>282200</v>
      </c>
      <c r="F95" s="15">
        <v>300000</v>
      </c>
      <c r="G95" s="15">
        <v>400000</v>
      </c>
      <c r="H95" s="15">
        <v>500000</v>
      </c>
      <c r="I95" s="15">
        <v>600000</v>
      </c>
      <c r="J95" s="15">
        <f t="shared" si="7"/>
        <v>2082200</v>
      </c>
    </row>
    <row r="96" spans="1:10" ht="51.75" customHeight="1">
      <c r="A96" s="5">
        <v>3</v>
      </c>
      <c r="B96" s="61" t="s">
        <v>141</v>
      </c>
      <c r="C96" s="29" t="s">
        <v>141</v>
      </c>
      <c r="D96" s="4" t="s">
        <v>110</v>
      </c>
      <c r="E96" s="15">
        <v>945800</v>
      </c>
      <c r="F96" s="15">
        <v>1000000</v>
      </c>
      <c r="G96" s="15">
        <v>1000000</v>
      </c>
      <c r="H96" s="15">
        <v>1000000</v>
      </c>
      <c r="I96" s="15">
        <v>1000000</v>
      </c>
      <c r="J96" s="15">
        <f t="shared" si="7"/>
        <v>4945800</v>
      </c>
    </row>
    <row r="97" spans="1:10" ht="51.75" customHeight="1">
      <c r="A97" s="5">
        <v>3</v>
      </c>
      <c r="B97" s="61" t="s">
        <v>141</v>
      </c>
      <c r="C97" s="29" t="s">
        <v>141</v>
      </c>
      <c r="D97" s="4" t="s">
        <v>21</v>
      </c>
      <c r="E97" s="15">
        <v>3000000</v>
      </c>
      <c r="F97" s="15">
        <v>3000000</v>
      </c>
      <c r="G97" s="15">
        <v>3000000</v>
      </c>
      <c r="H97" s="15">
        <v>3000000</v>
      </c>
      <c r="I97" s="15">
        <v>3000000</v>
      </c>
      <c r="J97" s="15">
        <f t="shared" si="7"/>
        <v>15000000</v>
      </c>
    </row>
    <row r="98" spans="1:10" ht="48" customHeight="1">
      <c r="A98" s="5">
        <v>3</v>
      </c>
      <c r="B98" s="61" t="s">
        <v>141</v>
      </c>
      <c r="C98" s="61" t="s">
        <v>141</v>
      </c>
      <c r="D98" s="4" t="s">
        <v>94</v>
      </c>
      <c r="E98" s="33">
        <v>1500000</v>
      </c>
      <c r="F98" s="33">
        <v>1550000</v>
      </c>
      <c r="G98" s="33">
        <v>1600000</v>
      </c>
      <c r="H98" s="33">
        <v>1650000</v>
      </c>
      <c r="I98" s="33">
        <v>1700000</v>
      </c>
      <c r="J98" s="15">
        <f t="shared" si="7"/>
        <v>8000000</v>
      </c>
    </row>
    <row r="99" spans="1:10" ht="48" customHeight="1">
      <c r="A99" s="5">
        <v>3</v>
      </c>
      <c r="B99" s="94" t="s">
        <v>141</v>
      </c>
      <c r="C99" s="94" t="s">
        <v>383</v>
      </c>
      <c r="D99" s="156" t="s">
        <v>381</v>
      </c>
      <c r="E99" s="157">
        <v>9500</v>
      </c>
      <c r="F99" s="157">
        <v>9500</v>
      </c>
      <c r="G99" s="33">
        <v>9500</v>
      </c>
      <c r="H99" s="33">
        <v>9500</v>
      </c>
      <c r="I99" s="33">
        <v>9500</v>
      </c>
      <c r="J99" s="15">
        <f t="shared" si="7"/>
        <v>47500</v>
      </c>
    </row>
    <row r="100" spans="1:10" ht="45" customHeight="1">
      <c r="A100" s="64">
        <v>4</v>
      </c>
      <c r="B100" s="61" t="s">
        <v>17</v>
      </c>
      <c r="C100" s="29" t="s">
        <v>142</v>
      </c>
      <c r="D100" s="4" t="s">
        <v>56</v>
      </c>
      <c r="E100" s="15">
        <f>993150+50</f>
        <v>993200</v>
      </c>
      <c r="F100" s="15">
        <v>1100000</v>
      </c>
      <c r="G100" s="15">
        <v>1200000</v>
      </c>
      <c r="H100" s="15">
        <v>1300000</v>
      </c>
      <c r="I100" s="15">
        <v>1400000</v>
      </c>
      <c r="J100" s="15">
        <f t="shared" si="7"/>
        <v>5993200</v>
      </c>
    </row>
    <row r="101" spans="1:10" ht="45" customHeight="1">
      <c r="A101" s="64">
        <v>4</v>
      </c>
      <c r="B101" s="61" t="s">
        <v>17</v>
      </c>
      <c r="C101" s="29" t="s">
        <v>38</v>
      </c>
      <c r="D101" s="4" t="s">
        <v>250</v>
      </c>
      <c r="E101" s="15">
        <v>100000</v>
      </c>
      <c r="F101" s="15">
        <v>150000</v>
      </c>
      <c r="G101" s="15">
        <v>200000</v>
      </c>
      <c r="H101" s="15">
        <v>250000</v>
      </c>
      <c r="I101" s="15">
        <v>300000</v>
      </c>
      <c r="J101" s="15">
        <f t="shared" si="7"/>
        <v>1000000</v>
      </c>
    </row>
    <row r="102" spans="1:10" ht="45" customHeight="1">
      <c r="A102" s="64">
        <v>4</v>
      </c>
      <c r="B102" s="61" t="s">
        <v>17</v>
      </c>
      <c r="C102" s="29" t="s">
        <v>82</v>
      </c>
      <c r="D102" s="4" t="s">
        <v>79</v>
      </c>
      <c r="E102" s="15">
        <v>95000</v>
      </c>
      <c r="F102" s="15">
        <f>ROUND(E102*5%+E102,-2)</f>
        <v>99800</v>
      </c>
      <c r="G102" s="15">
        <f t="shared" ref="G102:I102" si="9">ROUND(F102*5%+F102,-2)</f>
        <v>104800</v>
      </c>
      <c r="H102" s="15">
        <f t="shared" si="9"/>
        <v>110000</v>
      </c>
      <c r="I102" s="15">
        <f t="shared" si="9"/>
        <v>115500</v>
      </c>
      <c r="J102" s="15">
        <f t="shared" si="7"/>
        <v>525100</v>
      </c>
    </row>
    <row r="103" spans="1:10" ht="45" customHeight="1">
      <c r="A103" s="64">
        <v>4</v>
      </c>
      <c r="B103" s="61" t="s">
        <v>17</v>
      </c>
      <c r="C103" s="29" t="s">
        <v>144</v>
      </c>
      <c r="D103" s="4" t="s">
        <v>110</v>
      </c>
      <c r="E103" s="15">
        <v>2572500</v>
      </c>
      <c r="F103" s="15">
        <v>2829800</v>
      </c>
      <c r="G103" s="15">
        <v>3112700</v>
      </c>
      <c r="H103" s="15">
        <v>3424000</v>
      </c>
      <c r="I103" s="15">
        <v>3766400</v>
      </c>
      <c r="J103" s="15">
        <f t="shared" si="7"/>
        <v>15705400</v>
      </c>
    </row>
    <row r="104" spans="1:10" ht="45" customHeight="1">
      <c r="A104" s="64">
        <v>4</v>
      </c>
      <c r="B104" s="61" t="s">
        <v>17</v>
      </c>
      <c r="C104" s="36" t="s">
        <v>145</v>
      </c>
      <c r="D104" s="4" t="s">
        <v>110</v>
      </c>
      <c r="E104" s="15">
        <v>100000</v>
      </c>
      <c r="F104" s="15">
        <v>100000</v>
      </c>
      <c r="G104" s="15">
        <v>100000</v>
      </c>
      <c r="H104" s="15">
        <v>100000</v>
      </c>
      <c r="I104" s="15">
        <v>100000</v>
      </c>
      <c r="J104" s="15">
        <f t="shared" si="7"/>
        <v>500000</v>
      </c>
    </row>
    <row r="105" spans="1:10" ht="45" customHeight="1">
      <c r="A105" s="64">
        <v>4</v>
      </c>
      <c r="B105" s="61" t="s">
        <v>17</v>
      </c>
      <c r="C105" s="60" t="s">
        <v>70</v>
      </c>
      <c r="D105" s="4" t="s">
        <v>58</v>
      </c>
      <c r="E105" s="33">
        <v>10000</v>
      </c>
      <c r="F105" s="33">
        <v>10000</v>
      </c>
      <c r="G105" s="33">
        <v>10000</v>
      </c>
      <c r="H105" s="33">
        <v>10000</v>
      </c>
      <c r="I105" s="33">
        <v>10000</v>
      </c>
      <c r="J105" s="15">
        <f t="shared" si="7"/>
        <v>50000</v>
      </c>
    </row>
    <row r="106" spans="1:10" ht="45" customHeight="1">
      <c r="A106" s="64">
        <v>4</v>
      </c>
      <c r="B106" s="61" t="s">
        <v>17</v>
      </c>
      <c r="C106" s="60" t="s">
        <v>292</v>
      </c>
      <c r="D106" s="4" t="s">
        <v>50</v>
      </c>
      <c r="E106" s="33">
        <v>167600</v>
      </c>
      <c r="F106" s="33">
        <v>360000</v>
      </c>
      <c r="G106" s="33">
        <v>390000</v>
      </c>
      <c r="H106" s="33">
        <v>420000</v>
      </c>
      <c r="I106" s="33">
        <v>460000</v>
      </c>
      <c r="J106" s="15">
        <f t="shared" si="7"/>
        <v>1797600</v>
      </c>
    </row>
    <row r="107" spans="1:10" ht="45" customHeight="1">
      <c r="A107" s="64">
        <v>4</v>
      </c>
      <c r="B107" s="61" t="s">
        <v>17</v>
      </c>
      <c r="C107" s="60" t="s">
        <v>54</v>
      </c>
      <c r="D107" s="4" t="s">
        <v>50</v>
      </c>
      <c r="E107" s="33">
        <v>85000</v>
      </c>
      <c r="F107" s="33">
        <v>100000</v>
      </c>
      <c r="G107" s="33">
        <v>100000</v>
      </c>
      <c r="H107" s="33">
        <v>150000</v>
      </c>
      <c r="I107" s="33">
        <v>150000</v>
      </c>
      <c r="J107" s="15">
        <f t="shared" si="7"/>
        <v>585000</v>
      </c>
    </row>
    <row r="108" spans="1:10" ht="45" customHeight="1">
      <c r="A108" s="64">
        <v>4</v>
      </c>
      <c r="B108" s="61" t="s">
        <v>17</v>
      </c>
      <c r="C108" s="60" t="s">
        <v>77</v>
      </c>
      <c r="D108" s="4" t="s">
        <v>76</v>
      </c>
      <c r="E108" s="33">
        <f>ROUND(2830360,-2)</f>
        <v>2830400</v>
      </c>
      <c r="F108" s="33">
        <f>ROUND(3113396,-2)</f>
        <v>3113400</v>
      </c>
      <c r="G108" s="33">
        <f>ROUND(3424735.6,-2)</f>
        <v>3424700</v>
      </c>
      <c r="H108" s="33">
        <f>ROUND(3767209.16,-2)</f>
        <v>3767200</v>
      </c>
      <c r="I108" s="33">
        <f>ROUND(4143930.076,-2)</f>
        <v>4143900</v>
      </c>
      <c r="J108" s="15">
        <f t="shared" si="7"/>
        <v>17279600</v>
      </c>
    </row>
    <row r="109" spans="1:10" ht="45" customHeight="1">
      <c r="A109" s="64">
        <v>4</v>
      </c>
      <c r="B109" s="61" t="s">
        <v>17</v>
      </c>
      <c r="C109" s="60" t="s">
        <v>143</v>
      </c>
      <c r="D109" s="4" t="s">
        <v>94</v>
      </c>
      <c r="E109" s="33">
        <v>2000000</v>
      </c>
      <c r="F109" s="33">
        <v>2100000</v>
      </c>
      <c r="G109" s="33">
        <v>2200000</v>
      </c>
      <c r="H109" s="33">
        <v>2300000</v>
      </c>
      <c r="I109" s="33">
        <v>2400000</v>
      </c>
      <c r="J109" s="15">
        <f t="shared" si="7"/>
        <v>11000000</v>
      </c>
    </row>
    <row r="110" spans="1:10" ht="45" customHeight="1">
      <c r="A110" s="64">
        <v>4</v>
      </c>
      <c r="B110" s="61" t="s">
        <v>17</v>
      </c>
      <c r="C110" s="27" t="s">
        <v>106</v>
      </c>
      <c r="D110" s="4" t="s">
        <v>97</v>
      </c>
      <c r="E110" s="52">
        <v>42000</v>
      </c>
      <c r="F110" s="53">
        <f t="shared" ref="F110:I111" si="10">5/100*E110+E110</f>
        <v>44100</v>
      </c>
      <c r="G110" s="53">
        <v>46400</v>
      </c>
      <c r="H110" s="53">
        <v>48800</v>
      </c>
      <c r="I110" s="53">
        <f>51156+44</f>
        <v>51200</v>
      </c>
      <c r="J110" s="15">
        <f t="shared" si="7"/>
        <v>232500</v>
      </c>
    </row>
    <row r="111" spans="1:10" ht="45" customHeight="1">
      <c r="A111" s="64">
        <v>4</v>
      </c>
      <c r="B111" s="61" t="s">
        <v>17</v>
      </c>
      <c r="C111" s="27" t="s">
        <v>107</v>
      </c>
      <c r="D111" s="4" t="s">
        <v>97</v>
      </c>
      <c r="E111" s="52">
        <v>917300</v>
      </c>
      <c r="F111" s="53">
        <v>963200</v>
      </c>
      <c r="G111" s="53">
        <v>1011400</v>
      </c>
      <c r="H111" s="53">
        <v>1062000</v>
      </c>
      <c r="I111" s="53">
        <f t="shared" si="10"/>
        <v>1115100</v>
      </c>
      <c r="J111" s="15">
        <f t="shared" si="7"/>
        <v>5069000</v>
      </c>
    </row>
    <row r="112" spans="1:10" ht="45" customHeight="1">
      <c r="A112" s="64">
        <v>4</v>
      </c>
      <c r="B112" s="61" t="s">
        <v>17</v>
      </c>
      <c r="C112" s="60" t="s">
        <v>326</v>
      </c>
      <c r="D112" s="4" t="s">
        <v>381</v>
      </c>
      <c r="E112" s="55">
        <f>ROUND(F112*0.9,-2)</f>
        <v>2555900</v>
      </c>
      <c r="F112" s="55">
        <v>2839900</v>
      </c>
      <c r="G112" s="55">
        <f>ROUND(F112*0.1+F112,-2)</f>
        <v>3123900</v>
      </c>
      <c r="H112" s="55">
        <f>ROUND(G112*0.1+G112,-2)</f>
        <v>3436300</v>
      </c>
      <c r="I112" s="55">
        <f>ROUND(H112*0.1+H112,-2)</f>
        <v>3779900</v>
      </c>
      <c r="J112" s="15">
        <f t="shared" si="7"/>
        <v>15735900</v>
      </c>
    </row>
    <row r="113" spans="1:10" ht="45" customHeight="1">
      <c r="A113" s="64">
        <v>4</v>
      </c>
      <c r="B113" s="61" t="s">
        <v>17</v>
      </c>
      <c r="C113" s="60" t="s">
        <v>82</v>
      </c>
      <c r="D113" s="4" t="s">
        <v>14</v>
      </c>
      <c r="E113" s="55">
        <v>286300</v>
      </c>
      <c r="F113" s="55">
        <v>300000</v>
      </c>
      <c r="G113" s="55">
        <v>350000</v>
      </c>
      <c r="H113" s="55">
        <v>450000</v>
      </c>
      <c r="I113" s="55">
        <v>500000</v>
      </c>
      <c r="J113" s="15">
        <f t="shared" si="7"/>
        <v>1886300</v>
      </c>
    </row>
    <row r="114" spans="1:10" ht="45" customHeight="1">
      <c r="A114" s="64">
        <v>4</v>
      </c>
      <c r="B114" s="61" t="s">
        <v>328</v>
      </c>
      <c r="C114" s="29" t="s">
        <v>31</v>
      </c>
      <c r="D114" s="4" t="s">
        <v>250</v>
      </c>
      <c r="E114" s="15">
        <v>160000</v>
      </c>
      <c r="F114" s="15">
        <v>250000</v>
      </c>
      <c r="G114" s="15">
        <v>300000</v>
      </c>
      <c r="H114" s="15">
        <v>400000</v>
      </c>
      <c r="I114" s="15">
        <v>500000</v>
      </c>
      <c r="J114" s="15">
        <f t="shared" si="7"/>
        <v>1610000</v>
      </c>
    </row>
    <row r="115" spans="1:10" ht="45" customHeight="1">
      <c r="A115" s="64">
        <v>4</v>
      </c>
      <c r="B115" s="61" t="s">
        <v>328</v>
      </c>
      <c r="C115" s="36" t="s">
        <v>146</v>
      </c>
      <c r="D115" s="4" t="s">
        <v>110</v>
      </c>
      <c r="E115" s="15">
        <v>200000</v>
      </c>
      <c r="F115" s="15">
        <v>220000</v>
      </c>
      <c r="G115" s="15">
        <v>400000</v>
      </c>
      <c r="H115" s="15">
        <v>400000</v>
      </c>
      <c r="I115" s="15">
        <v>400000</v>
      </c>
      <c r="J115" s="15">
        <f t="shared" si="7"/>
        <v>1620000</v>
      </c>
    </row>
    <row r="116" spans="1:10" ht="107.25" customHeight="1">
      <c r="A116" s="64">
        <v>4</v>
      </c>
      <c r="B116" s="61" t="s">
        <v>328</v>
      </c>
      <c r="C116" s="60" t="s">
        <v>71</v>
      </c>
      <c r="D116" s="4" t="s">
        <v>58</v>
      </c>
      <c r="E116" s="33">
        <f>1343932.25-32.25</f>
        <v>1343900</v>
      </c>
      <c r="F116" s="33">
        <f t="shared" ref="F116:I116" si="11">1343932.25-32.25</f>
        <v>1343900</v>
      </c>
      <c r="G116" s="33">
        <f t="shared" si="11"/>
        <v>1343900</v>
      </c>
      <c r="H116" s="33">
        <f t="shared" si="11"/>
        <v>1343900</v>
      </c>
      <c r="I116" s="33">
        <f t="shared" si="11"/>
        <v>1343900</v>
      </c>
      <c r="J116" s="15">
        <f t="shared" si="7"/>
        <v>6719500</v>
      </c>
    </row>
    <row r="117" spans="1:10" ht="46.5" customHeight="1">
      <c r="A117" s="64">
        <v>4</v>
      </c>
      <c r="B117" s="61" t="s">
        <v>328</v>
      </c>
      <c r="C117" s="60" t="s">
        <v>294</v>
      </c>
      <c r="D117" s="4" t="s">
        <v>50</v>
      </c>
      <c r="E117" s="33">
        <v>3000</v>
      </c>
      <c r="F117" s="33">
        <v>5000</v>
      </c>
      <c r="G117" s="33">
        <v>5000</v>
      </c>
      <c r="H117" s="33">
        <v>10000</v>
      </c>
      <c r="I117" s="33">
        <v>10000</v>
      </c>
      <c r="J117" s="15">
        <f t="shared" si="7"/>
        <v>33000</v>
      </c>
    </row>
    <row r="118" spans="1:10" ht="46.5" customHeight="1">
      <c r="A118" s="64">
        <v>4</v>
      </c>
      <c r="B118" s="61" t="s">
        <v>328</v>
      </c>
      <c r="C118" s="60" t="s">
        <v>328</v>
      </c>
      <c r="D118" s="4" t="s">
        <v>21</v>
      </c>
      <c r="E118" s="33">
        <v>410000</v>
      </c>
      <c r="F118" s="33">
        <v>410000</v>
      </c>
      <c r="G118" s="33">
        <v>410000</v>
      </c>
      <c r="H118" s="33">
        <v>410000</v>
      </c>
      <c r="I118" s="33">
        <v>410000</v>
      </c>
      <c r="J118" s="15">
        <f t="shared" si="7"/>
        <v>2050000</v>
      </c>
    </row>
    <row r="119" spans="1:10" ht="46.5" customHeight="1">
      <c r="A119" s="64">
        <v>4</v>
      </c>
      <c r="B119" s="61" t="s">
        <v>328</v>
      </c>
      <c r="C119" s="60" t="s">
        <v>295</v>
      </c>
      <c r="D119" s="4" t="s">
        <v>50</v>
      </c>
      <c r="E119" s="33">
        <v>9000</v>
      </c>
      <c r="F119" s="33">
        <v>10000</v>
      </c>
      <c r="G119" s="33">
        <v>10000</v>
      </c>
      <c r="H119" s="33">
        <v>10000</v>
      </c>
      <c r="I119" s="33">
        <v>10000</v>
      </c>
      <c r="J119" s="15">
        <f t="shared" si="7"/>
        <v>49000</v>
      </c>
    </row>
    <row r="120" spans="1:10" ht="72">
      <c r="A120" s="64">
        <v>4</v>
      </c>
      <c r="B120" s="61" t="s">
        <v>176</v>
      </c>
      <c r="C120" s="36" t="s">
        <v>147</v>
      </c>
      <c r="D120" s="4" t="s">
        <v>110</v>
      </c>
      <c r="E120" s="15">
        <v>0</v>
      </c>
      <c r="F120" s="15">
        <v>1000000</v>
      </c>
      <c r="G120" s="15">
        <v>1000000</v>
      </c>
      <c r="H120" s="15">
        <v>1000000</v>
      </c>
      <c r="I120" s="15">
        <v>1000000</v>
      </c>
      <c r="J120" s="15">
        <f t="shared" si="7"/>
        <v>4000000</v>
      </c>
    </row>
    <row r="121" spans="1:10" ht="75" customHeight="1">
      <c r="A121" s="64">
        <v>4</v>
      </c>
      <c r="B121" s="61" t="s">
        <v>176</v>
      </c>
      <c r="C121" s="36" t="s">
        <v>329</v>
      </c>
      <c r="D121" s="4" t="s">
        <v>21</v>
      </c>
      <c r="E121" s="15">
        <v>200000</v>
      </c>
      <c r="F121" s="15">
        <v>200000</v>
      </c>
      <c r="G121" s="15">
        <v>200000</v>
      </c>
      <c r="H121" s="15">
        <v>200000</v>
      </c>
      <c r="I121" s="15">
        <v>200000</v>
      </c>
      <c r="J121" s="15">
        <f t="shared" si="7"/>
        <v>1000000</v>
      </c>
    </row>
    <row r="122" spans="1:10" ht="72">
      <c r="A122" s="64">
        <v>4</v>
      </c>
      <c r="B122" s="61" t="s">
        <v>176</v>
      </c>
      <c r="C122" s="36" t="s">
        <v>86</v>
      </c>
      <c r="D122" s="4" t="s">
        <v>123</v>
      </c>
      <c r="E122" s="15">
        <v>1500000</v>
      </c>
      <c r="F122" s="15">
        <v>1600000</v>
      </c>
      <c r="G122" s="15">
        <v>1700000</v>
      </c>
      <c r="H122" s="15">
        <v>1800000</v>
      </c>
      <c r="I122" s="15">
        <v>1900000</v>
      </c>
      <c r="J122" s="15">
        <f t="shared" si="7"/>
        <v>8500000</v>
      </c>
    </row>
    <row r="123" spans="1:10" ht="48">
      <c r="A123" s="64">
        <v>4</v>
      </c>
      <c r="B123" s="61" t="s">
        <v>177</v>
      </c>
      <c r="C123" s="30" t="s">
        <v>32</v>
      </c>
      <c r="D123" s="4" t="s">
        <v>250</v>
      </c>
      <c r="E123" s="15">
        <v>100000</v>
      </c>
      <c r="F123" s="15">
        <v>150000</v>
      </c>
      <c r="G123" s="15">
        <v>200000</v>
      </c>
      <c r="H123" s="15">
        <v>250000</v>
      </c>
      <c r="I123" s="15">
        <v>300000</v>
      </c>
      <c r="J123" s="15">
        <f t="shared" si="7"/>
        <v>1000000</v>
      </c>
    </row>
    <row r="124" spans="1:10" ht="48">
      <c r="A124" s="64">
        <v>4</v>
      </c>
      <c r="B124" s="61" t="s">
        <v>177</v>
      </c>
      <c r="C124" s="31" t="s">
        <v>39</v>
      </c>
      <c r="D124" s="4" t="s">
        <v>250</v>
      </c>
      <c r="E124" s="15">
        <f>31966160+40</f>
        <v>31966200</v>
      </c>
      <c r="F124" s="15">
        <f>10191240+8812120+13154040</f>
        <v>32157400</v>
      </c>
      <c r="G124" s="15">
        <f>ROUND(6301920+9812120+10191240+13154040,-2)</f>
        <v>39459300</v>
      </c>
      <c r="H124" s="15">
        <f>ROUND(6301920+9812120+10191240+13154040,-2)</f>
        <v>39459300</v>
      </c>
      <c r="I124" s="15">
        <f>ROUND(6301920+9812120+10191240+13154040+14000000,-2)</f>
        <v>53459300</v>
      </c>
      <c r="J124" s="15">
        <f t="shared" si="7"/>
        <v>196501500</v>
      </c>
    </row>
    <row r="125" spans="1:10" ht="48">
      <c r="A125" s="64">
        <v>4</v>
      </c>
      <c r="B125" s="61" t="s">
        <v>177</v>
      </c>
      <c r="C125" s="13" t="s">
        <v>40</v>
      </c>
      <c r="D125" s="4" t="s">
        <v>250</v>
      </c>
      <c r="E125" s="15">
        <v>100000</v>
      </c>
      <c r="F125" s="15">
        <v>150000</v>
      </c>
      <c r="G125" s="15">
        <v>200000</v>
      </c>
      <c r="H125" s="15">
        <v>250000</v>
      </c>
      <c r="I125" s="15">
        <v>300000</v>
      </c>
      <c r="J125" s="15">
        <f t="shared" si="7"/>
        <v>1000000</v>
      </c>
    </row>
    <row r="126" spans="1:10" ht="51" customHeight="1">
      <c r="A126" s="64">
        <v>4</v>
      </c>
      <c r="B126" s="61" t="s">
        <v>177</v>
      </c>
      <c r="C126" s="13" t="s">
        <v>177</v>
      </c>
      <c r="D126" s="4" t="s">
        <v>21</v>
      </c>
      <c r="E126" s="15">
        <v>1396000</v>
      </c>
      <c r="F126" s="15">
        <v>1196000</v>
      </c>
      <c r="G126" s="15">
        <v>1296000</v>
      </c>
      <c r="H126" s="15">
        <v>1196000</v>
      </c>
      <c r="I126" s="15">
        <v>1296000</v>
      </c>
      <c r="J126" s="15">
        <f t="shared" si="7"/>
        <v>6380000</v>
      </c>
    </row>
    <row r="127" spans="1:10" ht="48">
      <c r="A127" s="64">
        <v>4</v>
      </c>
      <c r="B127" s="61" t="s">
        <v>177</v>
      </c>
      <c r="C127" s="13" t="s">
        <v>41</v>
      </c>
      <c r="D127" s="4" t="s">
        <v>250</v>
      </c>
      <c r="E127" s="15">
        <v>200000</v>
      </c>
      <c r="F127" s="15">
        <v>300000</v>
      </c>
      <c r="G127" s="15">
        <v>400000</v>
      </c>
      <c r="H127" s="15">
        <v>500000</v>
      </c>
      <c r="I127" s="15">
        <v>600000</v>
      </c>
      <c r="J127" s="15">
        <f t="shared" si="7"/>
        <v>2000000</v>
      </c>
    </row>
    <row r="128" spans="1:10" ht="36" customHeight="1">
      <c r="A128" s="64">
        <v>4</v>
      </c>
      <c r="B128" s="61" t="s">
        <v>178</v>
      </c>
      <c r="C128" s="13" t="s">
        <v>42</v>
      </c>
      <c r="D128" s="4" t="s">
        <v>250</v>
      </c>
      <c r="E128" s="32">
        <f>117360+40</f>
        <v>117400</v>
      </c>
      <c r="F128" s="15">
        <f>ROUND(123880,-2)</f>
        <v>123900</v>
      </c>
      <c r="G128" s="15">
        <v>130400</v>
      </c>
      <c r="H128" s="15">
        <f>ROUND(141810,-2)</f>
        <v>141800</v>
      </c>
      <c r="I128" s="15">
        <f>ROUND(154850,-2)</f>
        <v>154900</v>
      </c>
      <c r="J128" s="15">
        <f t="shared" si="7"/>
        <v>668400</v>
      </c>
    </row>
    <row r="129" spans="1:10" ht="46.5" customHeight="1">
      <c r="A129" s="64">
        <v>4</v>
      </c>
      <c r="B129" s="61" t="s">
        <v>178</v>
      </c>
      <c r="C129" s="13" t="s">
        <v>43</v>
      </c>
      <c r="D129" s="4" t="s">
        <v>250</v>
      </c>
      <c r="E129" s="38">
        <v>500000</v>
      </c>
      <c r="F129" s="15">
        <v>600000</v>
      </c>
      <c r="G129" s="15">
        <v>700000</v>
      </c>
      <c r="H129" s="15">
        <v>800000</v>
      </c>
      <c r="I129" s="15">
        <v>900000</v>
      </c>
      <c r="J129" s="15">
        <f t="shared" si="7"/>
        <v>3500000</v>
      </c>
    </row>
    <row r="130" spans="1:10" ht="49.5" customHeight="1">
      <c r="A130" s="64">
        <v>5</v>
      </c>
      <c r="B130" s="61" t="s">
        <v>18</v>
      </c>
      <c r="C130" s="39" t="s">
        <v>283</v>
      </c>
      <c r="D130" s="4" t="s">
        <v>56</v>
      </c>
      <c r="E130" s="15">
        <v>419000</v>
      </c>
      <c r="F130" s="15">
        <v>500000</v>
      </c>
      <c r="G130" s="15">
        <v>600000</v>
      </c>
      <c r="H130" s="15">
        <v>700000</v>
      </c>
      <c r="I130" s="15">
        <v>800000</v>
      </c>
      <c r="J130" s="15">
        <f t="shared" si="7"/>
        <v>3019000</v>
      </c>
    </row>
    <row r="131" spans="1:10" ht="49.5" customHeight="1">
      <c r="A131" s="64">
        <v>5</v>
      </c>
      <c r="B131" s="61" t="s">
        <v>18</v>
      </c>
      <c r="C131" s="13" t="s">
        <v>44</v>
      </c>
      <c r="D131" s="4" t="s">
        <v>250</v>
      </c>
      <c r="E131" s="15">
        <v>100000</v>
      </c>
      <c r="F131" s="15">
        <v>150000</v>
      </c>
      <c r="G131" s="15">
        <v>200000</v>
      </c>
      <c r="H131" s="15">
        <v>250000</v>
      </c>
      <c r="I131" s="15">
        <v>300000</v>
      </c>
      <c r="J131" s="15">
        <f t="shared" si="7"/>
        <v>1000000</v>
      </c>
    </row>
    <row r="132" spans="1:10" ht="49.5" customHeight="1">
      <c r="A132" s="64">
        <v>5</v>
      </c>
      <c r="B132" s="61" t="s">
        <v>18</v>
      </c>
      <c r="C132" s="13" t="s">
        <v>252</v>
      </c>
      <c r="D132" s="4" t="s">
        <v>250</v>
      </c>
      <c r="E132" s="15">
        <v>100000</v>
      </c>
      <c r="F132" s="15">
        <v>150000</v>
      </c>
      <c r="G132" s="15">
        <v>200000</v>
      </c>
      <c r="H132" s="15">
        <v>250000</v>
      </c>
      <c r="I132" s="15">
        <v>300000</v>
      </c>
      <c r="J132" s="15">
        <f t="shared" si="7"/>
        <v>1000000</v>
      </c>
    </row>
    <row r="133" spans="1:10" ht="49.5" customHeight="1">
      <c r="A133" s="64">
        <v>5</v>
      </c>
      <c r="B133" s="61" t="s">
        <v>18</v>
      </c>
      <c r="C133" s="61" t="s">
        <v>83</v>
      </c>
      <c r="D133" s="4" t="s">
        <v>79</v>
      </c>
      <c r="E133" s="15">
        <v>125000</v>
      </c>
      <c r="F133" s="15">
        <f>ROUND(E133*5%+E133,-2)</f>
        <v>131300</v>
      </c>
      <c r="G133" s="15">
        <f t="shared" ref="G133:I133" si="12">ROUND(F133*5%+F133,-2)</f>
        <v>137900</v>
      </c>
      <c r="H133" s="15">
        <f t="shared" si="12"/>
        <v>144800</v>
      </c>
      <c r="I133" s="15">
        <f t="shared" si="12"/>
        <v>152000</v>
      </c>
      <c r="J133" s="15">
        <f t="shared" si="7"/>
        <v>691000</v>
      </c>
    </row>
    <row r="134" spans="1:10" ht="49.5" customHeight="1">
      <c r="A134" s="64">
        <v>5</v>
      </c>
      <c r="B134" s="61" t="s">
        <v>18</v>
      </c>
      <c r="C134" s="60" t="s">
        <v>72</v>
      </c>
      <c r="D134" s="4" t="s">
        <v>58</v>
      </c>
      <c r="E134" s="33">
        <v>50000</v>
      </c>
      <c r="F134" s="33">
        <v>50000</v>
      </c>
      <c r="G134" s="33">
        <v>50000</v>
      </c>
      <c r="H134" s="33">
        <v>50000</v>
      </c>
      <c r="I134" s="33">
        <v>50000</v>
      </c>
      <c r="J134" s="15">
        <f t="shared" ref="J134:J197" si="13">SUM(E134:I134)</f>
        <v>250000</v>
      </c>
    </row>
    <row r="135" spans="1:10" ht="49.5" customHeight="1">
      <c r="A135" s="64">
        <v>5</v>
      </c>
      <c r="B135" s="61" t="s">
        <v>18</v>
      </c>
      <c r="C135" s="60" t="s">
        <v>296</v>
      </c>
      <c r="D135" s="4" t="s">
        <v>50</v>
      </c>
      <c r="E135" s="33">
        <v>23400</v>
      </c>
      <c r="F135" s="33">
        <v>35000</v>
      </c>
      <c r="G135" s="33">
        <v>40000</v>
      </c>
      <c r="H135" s="33">
        <v>40000</v>
      </c>
      <c r="I135" s="33">
        <v>40000</v>
      </c>
      <c r="J135" s="15">
        <f t="shared" si="13"/>
        <v>178400</v>
      </c>
    </row>
    <row r="136" spans="1:10" ht="49.5" customHeight="1">
      <c r="A136" s="64">
        <v>5</v>
      </c>
      <c r="B136" s="61" t="s">
        <v>18</v>
      </c>
      <c r="C136" s="60" t="s">
        <v>297</v>
      </c>
      <c r="D136" s="4" t="s">
        <v>50</v>
      </c>
      <c r="E136" s="33">
        <f>11150+50</f>
        <v>11200</v>
      </c>
      <c r="F136" s="33">
        <v>20000</v>
      </c>
      <c r="G136" s="33">
        <v>20000</v>
      </c>
      <c r="H136" s="33">
        <v>20000</v>
      </c>
      <c r="I136" s="33">
        <v>20000</v>
      </c>
      <c r="J136" s="15">
        <f t="shared" si="13"/>
        <v>91200</v>
      </c>
    </row>
    <row r="137" spans="1:10" ht="49.5" customHeight="1">
      <c r="A137" s="64">
        <v>5</v>
      </c>
      <c r="B137" s="61" t="s">
        <v>18</v>
      </c>
      <c r="C137" s="39" t="s">
        <v>284</v>
      </c>
      <c r="D137" s="4" t="s">
        <v>76</v>
      </c>
      <c r="E137" s="33">
        <v>641700</v>
      </c>
      <c r="F137" s="33">
        <f>ROUND(705870,-2)</f>
        <v>705900</v>
      </c>
      <c r="G137" s="33">
        <f>ROUND(776457,-2)</f>
        <v>776500</v>
      </c>
      <c r="H137" s="33">
        <f>ROUND(854102.7,-2)</f>
        <v>854100</v>
      </c>
      <c r="I137" s="33">
        <f>ROUND(939512.97,-2)</f>
        <v>939500</v>
      </c>
      <c r="J137" s="15">
        <f t="shared" si="13"/>
        <v>3917700</v>
      </c>
    </row>
    <row r="138" spans="1:10" ht="49.5" customHeight="1">
      <c r="A138" s="64">
        <v>5</v>
      </c>
      <c r="B138" s="61" t="s">
        <v>18</v>
      </c>
      <c r="C138" s="39" t="s">
        <v>284</v>
      </c>
      <c r="D138" s="4" t="s">
        <v>123</v>
      </c>
      <c r="E138" s="33">
        <v>50000</v>
      </c>
      <c r="F138" s="33">
        <v>50000</v>
      </c>
      <c r="G138" s="33">
        <v>50000</v>
      </c>
      <c r="H138" s="33">
        <v>50000</v>
      </c>
      <c r="I138" s="33">
        <v>50000</v>
      </c>
      <c r="J138" s="15">
        <f t="shared" si="13"/>
        <v>250000</v>
      </c>
    </row>
    <row r="139" spans="1:10" ht="49.5" customHeight="1">
      <c r="A139" s="64">
        <v>5</v>
      </c>
      <c r="B139" s="61" t="s">
        <v>18</v>
      </c>
      <c r="C139" s="39" t="s">
        <v>315</v>
      </c>
      <c r="D139" s="4" t="s">
        <v>94</v>
      </c>
      <c r="E139" s="33">
        <v>250000</v>
      </c>
      <c r="F139" s="33">
        <v>300000</v>
      </c>
      <c r="G139" s="33">
        <v>300000</v>
      </c>
      <c r="H139" s="33">
        <v>350000</v>
      </c>
      <c r="I139" s="33">
        <v>350000</v>
      </c>
      <c r="J139" s="15">
        <f t="shared" si="13"/>
        <v>1550000</v>
      </c>
    </row>
    <row r="140" spans="1:10" ht="49.5" customHeight="1">
      <c r="A140" s="64">
        <v>5</v>
      </c>
      <c r="B140" s="61" t="s">
        <v>18</v>
      </c>
      <c r="C140" s="39" t="s">
        <v>317</v>
      </c>
      <c r="D140" s="4" t="s">
        <v>75</v>
      </c>
      <c r="E140" s="33">
        <v>30000</v>
      </c>
      <c r="F140" s="33">
        <v>30000</v>
      </c>
      <c r="G140" s="33">
        <v>30000</v>
      </c>
      <c r="H140" s="33">
        <v>30000</v>
      </c>
      <c r="I140" s="33">
        <v>30000</v>
      </c>
      <c r="J140" s="15">
        <f t="shared" si="13"/>
        <v>150000</v>
      </c>
    </row>
    <row r="141" spans="1:10" ht="49.5" customHeight="1">
      <c r="A141" s="64">
        <v>5</v>
      </c>
      <c r="B141" s="61" t="s">
        <v>18</v>
      </c>
      <c r="C141" s="27" t="s">
        <v>322</v>
      </c>
      <c r="D141" s="4" t="s">
        <v>97</v>
      </c>
      <c r="E141" s="52">
        <v>30000</v>
      </c>
      <c r="F141" s="53">
        <f t="shared" ref="F141" si="14">5/100*E141+E141</f>
        <v>31500</v>
      </c>
      <c r="G141" s="53">
        <v>33100</v>
      </c>
      <c r="H141" s="53">
        <v>34800</v>
      </c>
      <c r="I141" s="53">
        <v>36600</v>
      </c>
      <c r="J141" s="15">
        <f t="shared" si="13"/>
        <v>166000</v>
      </c>
    </row>
    <row r="142" spans="1:10" ht="49.5" customHeight="1">
      <c r="A142" s="64">
        <v>5</v>
      </c>
      <c r="B142" s="61" t="s">
        <v>18</v>
      </c>
      <c r="C142" s="47" t="s">
        <v>83</v>
      </c>
      <c r="D142" s="4" t="s">
        <v>97</v>
      </c>
      <c r="E142" s="52">
        <v>735000</v>
      </c>
      <c r="F142" s="53">
        <f>ROUND(5/100*E142+E142,-2)</f>
        <v>771800</v>
      </c>
      <c r="G142" s="53">
        <v>810400</v>
      </c>
      <c r="H142" s="53">
        <v>851000</v>
      </c>
      <c r="I142" s="53">
        <v>893600</v>
      </c>
      <c r="J142" s="15">
        <f t="shared" si="13"/>
        <v>4061800</v>
      </c>
    </row>
    <row r="143" spans="1:10" ht="49.5" customHeight="1">
      <c r="A143" s="64">
        <v>5</v>
      </c>
      <c r="B143" s="61" t="s">
        <v>18</v>
      </c>
      <c r="C143" s="61" t="s">
        <v>18</v>
      </c>
      <c r="D143" s="4" t="s">
        <v>21</v>
      </c>
      <c r="E143" s="52">
        <v>2170000</v>
      </c>
      <c r="F143" s="53">
        <v>2170000</v>
      </c>
      <c r="G143" s="53">
        <v>2170000</v>
      </c>
      <c r="H143" s="53">
        <v>2170000</v>
      </c>
      <c r="I143" s="53">
        <v>2170000</v>
      </c>
      <c r="J143" s="15">
        <f t="shared" si="13"/>
        <v>10850000</v>
      </c>
    </row>
    <row r="144" spans="1:10" ht="49.5" customHeight="1">
      <c r="A144" s="64">
        <v>5</v>
      </c>
      <c r="B144" s="61" t="s">
        <v>18</v>
      </c>
      <c r="C144" s="61" t="s">
        <v>18</v>
      </c>
      <c r="D144" s="4" t="s">
        <v>381</v>
      </c>
      <c r="E144" s="52">
        <f>F144*0.9</f>
        <v>2790000</v>
      </c>
      <c r="F144" s="53">
        <v>3100000</v>
      </c>
      <c r="G144" s="53">
        <f>F144*0.1+F144</f>
        <v>3410000</v>
      </c>
      <c r="H144" s="53">
        <f t="shared" ref="H144:I144" si="15">G144*0.1+G144</f>
        <v>3751000</v>
      </c>
      <c r="I144" s="53">
        <f t="shared" si="15"/>
        <v>4126100</v>
      </c>
      <c r="J144" s="15">
        <f t="shared" si="13"/>
        <v>17177100</v>
      </c>
    </row>
    <row r="145" spans="1:10" ht="49.5" customHeight="1">
      <c r="A145" s="64">
        <v>5</v>
      </c>
      <c r="B145" s="61" t="s">
        <v>18</v>
      </c>
      <c r="C145" s="61" t="s">
        <v>317</v>
      </c>
      <c r="D145" s="4" t="s">
        <v>14</v>
      </c>
      <c r="E145" s="52">
        <v>92000</v>
      </c>
      <c r="F145" s="53">
        <v>100000</v>
      </c>
      <c r="G145" s="53">
        <v>150000</v>
      </c>
      <c r="H145" s="53">
        <v>200000</v>
      </c>
      <c r="I145" s="53">
        <v>220000</v>
      </c>
      <c r="J145" s="15">
        <f t="shared" si="13"/>
        <v>762000</v>
      </c>
    </row>
    <row r="146" spans="1:10" ht="46.5" customHeight="1">
      <c r="A146" s="64">
        <v>5</v>
      </c>
      <c r="B146" s="61" t="s">
        <v>179</v>
      </c>
      <c r="C146" s="36" t="s">
        <v>148</v>
      </c>
      <c r="D146" s="4" t="s">
        <v>110</v>
      </c>
      <c r="E146" s="15">
        <v>848200</v>
      </c>
      <c r="F146" s="15">
        <v>933000</v>
      </c>
      <c r="G146" s="15">
        <v>1026300</v>
      </c>
      <c r="H146" s="15">
        <v>1129000</v>
      </c>
      <c r="I146" s="15">
        <v>1241900</v>
      </c>
      <c r="J146" s="15">
        <f t="shared" si="13"/>
        <v>5178400</v>
      </c>
    </row>
    <row r="147" spans="1:10" ht="46.5" customHeight="1">
      <c r="A147" s="64">
        <v>5</v>
      </c>
      <c r="B147" s="61" t="s">
        <v>179</v>
      </c>
      <c r="C147" s="60" t="s">
        <v>72</v>
      </c>
      <c r="D147" s="4" t="s">
        <v>58</v>
      </c>
      <c r="E147" s="33">
        <v>50000</v>
      </c>
      <c r="F147" s="33">
        <v>50000</v>
      </c>
      <c r="G147" s="33">
        <v>50000</v>
      </c>
      <c r="H147" s="33">
        <v>50000</v>
      </c>
      <c r="I147" s="33">
        <v>50000</v>
      </c>
      <c r="J147" s="15">
        <f t="shared" si="13"/>
        <v>250000</v>
      </c>
    </row>
    <row r="148" spans="1:10" ht="46.5" customHeight="1">
      <c r="A148" s="64">
        <v>5</v>
      </c>
      <c r="B148" s="61" t="s">
        <v>179</v>
      </c>
      <c r="C148" s="60" t="s">
        <v>330</v>
      </c>
      <c r="D148" s="4" t="s">
        <v>21</v>
      </c>
      <c r="E148" s="33">
        <v>670000</v>
      </c>
      <c r="F148" s="33">
        <v>670000</v>
      </c>
      <c r="G148" s="33">
        <v>670000</v>
      </c>
      <c r="H148" s="33">
        <v>670000</v>
      </c>
      <c r="I148" s="33">
        <v>670000</v>
      </c>
      <c r="J148" s="15">
        <f t="shared" si="13"/>
        <v>3350000</v>
      </c>
    </row>
    <row r="149" spans="1:10" ht="46.5" customHeight="1">
      <c r="A149" s="64">
        <v>5</v>
      </c>
      <c r="B149" s="61" t="s">
        <v>179</v>
      </c>
      <c r="C149" s="60" t="s">
        <v>87</v>
      </c>
      <c r="D149" s="4" t="s">
        <v>123</v>
      </c>
      <c r="E149" s="33">
        <v>1000000</v>
      </c>
      <c r="F149" s="33">
        <v>1000000</v>
      </c>
      <c r="G149" s="33">
        <v>1000000</v>
      </c>
      <c r="H149" s="33">
        <v>1000000</v>
      </c>
      <c r="I149" s="33">
        <v>1000000</v>
      </c>
      <c r="J149" s="15">
        <f t="shared" si="13"/>
        <v>5000000</v>
      </c>
    </row>
    <row r="150" spans="1:10" ht="47.25" customHeight="1">
      <c r="A150" s="64">
        <v>6</v>
      </c>
      <c r="B150" s="61" t="s">
        <v>337</v>
      </c>
      <c r="C150" s="61" t="s">
        <v>149</v>
      </c>
      <c r="D150" s="4" t="s">
        <v>56</v>
      </c>
      <c r="E150" s="15">
        <v>17352000</v>
      </c>
      <c r="F150" s="15">
        <v>17500000</v>
      </c>
      <c r="G150" s="15">
        <v>17500000</v>
      </c>
      <c r="H150" s="15">
        <v>17500000</v>
      </c>
      <c r="I150" s="15">
        <v>17500000</v>
      </c>
      <c r="J150" s="15">
        <f t="shared" si="13"/>
        <v>87352000</v>
      </c>
    </row>
    <row r="151" spans="1:10" ht="42.75" customHeight="1">
      <c r="A151" s="64">
        <v>6</v>
      </c>
      <c r="B151" s="61" t="s">
        <v>337</v>
      </c>
      <c r="C151" s="61" t="s">
        <v>249</v>
      </c>
      <c r="D151" s="4" t="s">
        <v>56</v>
      </c>
      <c r="E151" s="15">
        <v>25812800</v>
      </c>
      <c r="F151" s="15">
        <v>26000000</v>
      </c>
      <c r="G151" s="15">
        <v>26000000</v>
      </c>
      <c r="H151" s="15">
        <v>26000000</v>
      </c>
      <c r="I151" s="15">
        <v>26000000</v>
      </c>
      <c r="J151" s="15">
        <f t="shared" si="13"/>
        <v>129812800</v>
      </c>
    </row>
    <row r="152" spans="1:10" ht="42.75" customHeight="1">
      <c r="A152" s="64">
        <v>6</v>
      </c>
      <c r="B152" s="61" t="s">
        <v>337</v>
      </c>
      <c r="C152" s="30" t="s">
        <v>253</v>
      </c>
      <c r="D152" s="4" t="s">
        <v>250</v>
      </c>
      <c r="E152" s="15">
        <v>200000</v>
      </c>
      <c r="F152" s="15">
        <v>300000</v>
      </c>
      <c r="G152" s="15">
        <v>400000</v>
      </c>
      <c r="H152" s="15">
        <v>500000</v>
      </c>
      <c r="I152" s="15">
        <v>600000</v>
      </c>
      <c r="J152" s="15">
        <f t="shared" si="13"/>
        <v>2000000</v>
      </c>
    </row>
    <row r="153" spans="1:10" ht="42.75" customHeight="1">
      <c r="A153" s="64">
        <v>6</v>
      </c>
      <c r="B153" s="61" t="s">
        <v>337</v>
      </c>
      <c r="C153" s="30" t="s">
        <v>48</v>
      </c>
      <c r="D153" s="4" t="s">
        <v>250</v>
      </c>
      <c r="E153" s="15">
        <f>21600000</f>
        <v>21600000</v>
      </c>
      <c r="F153" s="15">
        <f>E153+10800000</f>
        <v>32400000</v>
      </c>
      <c r="G153" s="15">
        <f>F153+10800000</f>
        <v>43200000</v>
      </c>
      <c r="H153" s="15">
        <f t="shared" ref="H153:I153" si="16">G153+10800000</f>
        <v>54000000</v>
      </c>
      <c r="I153" s="15">
        <f t="shared" si="16"/>
        <v>64800000</v>
      </c>
      <c r="J153" s="15">
        <f t="shared" si="13"/>
        <v>216000000</v>
      </c>
    </row>
    <row r="154" spans="1:10" ht="42.75" customHeight="1">
      <c r="A154" s="64">
        <v>6</v>
      </c>
      <c r="B154" s="61" t="s">
        <v>337</v>
      </c>
      <c r="C154" s="13" t="s">
        <v>49</v>
      </c>
      <c r="D154" s="4" t="s">
        <v>250</v>
      </c>
      <c r="E154" s="15">
        <v>200000</v>
      </c>
      <c r="F154" s="15">
        <v>300000</v>
      </c>
      <c r="G154" s="15">
        <v>400000</v>
      </c>
      <c r="H154" s="15">
        <v>500000</v>
      </c>
      <c r="I154" s="15">
        <v>600000</v>
      </c>
      <c r="J154" s="15">
        <f t="shared" si="13"/>
        <v>2000000</v>
      </c>
    </row>
    <row r="155" spans="1:10" ht="42.75" customHeight="1">
      <c r="A155" s="64">
        <v>6</v>
      </c>
      <c r="B155" s="61" t="s">
        <v>337</v>
      </c>
      <c r="C155" s="61" t="s">
        <v>285</v>
      </c>
      <c r="D155" s="4" t="s">
        <v>79</v>
      </c>
      <c r="E155" s="15">
        <f>13384192+60000+70000+8</f>
        <v>13514200</v>
      </c>
      <c r="F155" s="15">
        <f>ROUND(E155*5%+E155,-2)</f>
        <v>14189900</v>
      </c>
      <c r="G155" s="15">
        <f t="shared" ref="G155:I155" si="17">ROUND(F155*5%+F155,-2)</f>
        <v>14899400</v>
      </c>
      <c r="H155" s="15">
        <f t="shared" si="17"/>
        <v>15644400</v>
      </c>
      <c r="I155" s="15">
        <f t="shared" si="17"/>
        <v>16426600</v>
      </c>
      <c r="J155" s="15">
        <f t="shared" si="13"/>
        <v>74674500</v>
      </c>
    </row>
    <row r="156" spans="1:10" ht="42.75" customHeight="1">
      <c r="A156" s="64">
        <v>6</v>
      </c>
      <c r="B156" s="61" t="s">
        <v>337</v>
      </c>
      <c r="C156" s="36" t="s">
        <v>185</v>
      </c>
      <c r="D156" s="4" t="s">
        <v>110</v>
      </c>
      <c r="E156" s="15">
        <v>100000</v>
      </c>
      <c r="F156" s="15">
        <v>100000</v>
      </c>
      <c r="G156" s="15">
        <v>100000</v>
      </c>
      <c r="H156" s="15">
        <v>100000</v>
      </c>
      <c r="I156" s="15">
        <v>100000</v>
      </c>
      <c r="J156" s="15">
        <f t="shared" si="13"/>
        <v>500000</v>
      </c>
    </row>
    <row r="157" spans="1:10" ht="42.75" customHeight="1">
      <c r="A157" s="64">
        <v>6</v>
      </c>
      <c r="B157" s="61" t="s">
        <v>337</v>
      </c>
      <c r="C157" s="60" t="s">
        <v>73</v>
      </c>
      <c r="D157" s="4" t="s">
        <v>58</v>
      </c>
      <c r="E157" s="33">
        <f>3932770.25+29.75</f>
        <v>3932800</v>
      </c>
      <c r="F157" s="33">
        <f>ROUND(3932770.25,-2)</f>
        <v>3932800</v>
      </c>
      <c r="G157" s="33">
        <f>ROUND(3932770.25,-2)</f>
        <v>3932800</v>
      </c>
      <c r="H157" s="33">
        <f>ROUND(3932770.25,-2)</f>
        <v>3932800</v>
      </c>
      <c r="I157" s="33">
        <f>ROUND(3932770.25,-2)</f>
        <v>3932800</v>
      </c>
      <c r="J157" s="15">
        <f t="shared" si="13"/>
        <v>19664000</v>
      </c>
    </row>
    <row r="158" spans="1:10" ht="42.75" customHeight="1">
      <c r="A158" s="64">
        <v>6</v>
      </c>
      <c r="B158" s="61" t="s">
        <v>337</v>
      </c>
      <c r="C158" s="60" t="s">
        <v>298</v>
      </c>
      <c r="D158" s="4" t="s">
        <v>50</v>
      </c>
      <c r="E158" s="33">
        <v>5000</v>
      </c>
      <c r="F158" s="33">
        <v>10000</v>
      </c>
      <c r="G158" s="33">
        <v>20000</v>
      </c>
      <c r="H158" s="33">
        <v>20000</v>
      </c>
      <c r="I158" s="33">
        <v>25000</v>
      </c>
      <c r="J158" s="15">
        <f t="shared" si="13"/>
        <v>80000</v>
      </c>
    </row>
    <row r="159" spans="1:10" ht="42.75" customHeight="1">
      <c r="A159" s="64">
        <v>6</v>
      </c>
      <c r="B159" s="61" t="s">
        <v>337</v>
      </c>
      <c r="C159" s="60" t="s">
        <v>299</v>
      </c>
      <c r="D159" s="4" t="s">
        <v>50</v>
      </c>
      <c r="E159" s="33">
        <v>5000</v>
      </c>
      <c r="F159" s="33">
        <v>8000</v>
      </c>
      <c r="G159" s="33">
        <v>0</v>
      </c>
      <c r="H159" s="33">
        <v>10000</v>
      </c>
      <c r="I159" s="33">
        <v>15000</v>
      </c>
      <c r="J159" s="15">
        <f t="shared" si="13"/>
        <v>38000</v>
      </c>
    </row>
    <row r="160" spans="1:10" ht="42.75" customHeight="1">
      <c r="A160" s="64">
        <v>6</v>
      </c>
      <c r="B160" s="61" t="s">
        <v>337</v>
      </c>
      <c r="C160" s="60" t="s">
        <v>300</v>
      </c>
      <c r="D160" s="4" t="s">
        <v>50</v>
      </c>
      <c r="E160" s="33">
        <v>10000</v>
      </c>
      <c r="F160" s="33">
        <v>15000</v>
      </c>
      <c r="G160" s="33">
        <v>15000</v>
      </c>
      <c r="H160" s="33">
        <v>15000</v>
      </c>
      <c r="I160" s="33">
        <v>15000</v>
      </c>
      <c r="J160" s="15">
        <f t="shared" si="13"/>
        <v>70000</v>
      </c>
    </row>
    <row r="161" spans="1:10" ht="42.75" customHeight="1">
      <c r="A161" s="64">
        <v>6</v>
      </c>
      <c r="B161" s="61" t="s">
        <v>337</v>
      </c>
      <c r="C161" s="60" t="s">
        <v>301</v>
      </c>
      <c r="D161" s="4" t="s">
        <v>50</v>
      </c>
      <c r="E161" s="33">
        <v>28600</v>
      </c>
      <c r="F161" s="33">
        <v>50000</v>
      </c>
      <c r="G161" s="33">
        <v>55000</v>
      </c>
      <c r="H161" s="33">
        <v>60500</v>
      </c>
      <c r="I161" s="33">
        <v>66500</v>
      </c>
      <c r="J161" s="15">
        <f t="shared" si="13"/>
        <v>260600</v>
      </c>
    </row>
    <row r="162" spans="1:10" ht="78" customHeight="1">
      <c r="A162" s="64">
        <v>6</v>
      </c>
      <c r="B162" s="61" t="s">
        <v>337</v>
      </c>
      <c r="C162" s="60" t="s">
        <v>302</v>
      </c>
      <c r="D162" s="4" t="s">
        <v>50</v>
      </c>
      <c r="E162" s="33">
        <v>10000</v>
      </c>
      <c r="F162" s="33">
        <v>15000</v>
      </c>
      <c r="G162" s="33">
        <v>15000</v>
      </c>
      <c r="H162" s="33">
        <v>20000</v>
      </c>
      <c r="I162" s="33">
        <v>20000</v>
      </c>
      <c r="J162" s="15">
        <f t="shared" si="13"/>
        <v>80000</v>
      </c>
    </row>
    <row r="163" spans="1:10" ht="52.5" customHeight="1">
      <c r="A163" s="64">
        <v>6</v>
      </c>
      <c r="B163" s="61" t="s">
        <v>337</v>
      </c>
      <c r="C163" s="60" t="s">
        <v>78</v>
      </c>
      <c r="D163" s="4" t="s">
        <v>76</v>
      </c>
      <c r="E163" s="33">
        <f>ROUND(15707390,-2)</f>
        <v>15707400</v>
      </c>
      <c r="F163" s="33">
        <f>ROUND(17278129,-2)</f>
        <v>17278100</v>
      </c>
      <c r="G163" s="33">
        <f>ROUND(19005941.9,-2)</f>
        <v>19005900</v>
      </c>
      <c r="H163" s="33">
        <f>ROUND(20906536.09,-2)</f>
        <v>20906500</v>
      </c>
      <c r="I163" s="33">
        <f>ROUND(22997189.699,-2)</f>
        <v>22997200</v>
      </c>
      <c r="J163" s="15">
        <f t="shared" si="13"/>
        <v>95895100</v>
      </c>
    </row>
    <row r="164" spans="1:10" ht="56.25" customHeight="1">
      <c r="A164" s="64">
        <v>6</v>
      </c>
      <c r="B164" s="61" t="s">
        <v>337</v>
      </c>
      <c r="C164" s="60" t="s">
        <v>88</v>
      </c>
      <c r="D164" s="4" t="s">
        <v>123</v>
      </c>
      <c r="E164" s="33">
        <v>10000000</v>
      </c>
      <c r="F164" s="33">
        <v>1200000</v>
      </c>
      <c r="G164" s="33">
        <v>1400000</v>
      </c>
      <c r="H164" s="33">
        <v>1600000</v>
      </c>
      <c r="I164" s="33">
        <v>1800000</v>
      </c>
      <c r="J164" s="15">
        <f t="shared" si="13"/>
        <v>16000000</v>
      </c>
    </row>
    <row r="165" spans="1:10" ht="101.25" customHeight="1">
      <c r="A165" s="64">
        <v>6</v>
      </c>
      <c r="B165" s="61" t="s">
        <v>337</v>
      </c>
      <c r="C165" s="60" t="s">
        <v>90</v>
      </c>
      <c r="D165" s="4" t="s">
        <v>123</v>
      </c>
      <c r="E165" s="33">
        <v>50000</v>
      </c>
      <c r="F165" s="33">
        <v>50000</v>
      </c>
      <c r="G165" s="33">
        <v>50000</v>
      </c>
      <c r="H165" s="33">
        <v>50000</v>
      </c>
      <c r="I165" s="33">
        <v>50000</v>
      </c>
      <c r="J165" s="15">
        <f t="shared" si="13"/>
        <v>250000</v>
      </c>
    </row>
    <row r="166" spans="1:10" ht="47.25" customHeight="1">
      <c r="A166" s="64">
        <v>6</v>
      </c>
      <c r="B166" s="61" t="s">
        <v>337</v>
      </c>
      <c r="C166" s="60" t="s">
        <v>316</v>
      </c>
      <c r="D166" s="4" t="s">
        <v>94</v>
      </c>
      <c r="E166" s="33">
        <v>23000000</v>
      </c>
      <c r="F166" s="33">
        <v>24500000</v>
      </c>
      <c r="G166" s="33">
        <v>26000000</v>
      </c>
      <c r="H166" s="33">
        <v>27500000</v>
      </c>
      <c r="I166" s="33">
        <v>29000000</v>
      </c>
      <c r="J166" s="15">
        <f t="shared" si="13"/>
        <v>130000000</v>
      </c>
    </row>
    <row r="167" spans="1:10" ht="54" customHeight="1">
      <c r="A167" s="64">
        <v>6</v>
      </c>
      <c r="B167" s="61" t="s">
        <v>337</v>
      </c>
      <c r="C167" s="60" t="s">
        <v>319</v>
      </c>
      <c r="D167" s="4" t="s">
        <v>75</v>
      </c>
      <c r="E167" s="33">
        <v>1338820</v>
      </c>
      <c r="F167" s="33">
        <v>1338820</v>
      </c>
      <c r="G167" s="33">
        <v>1350000</v>
      </c>
      <c r="H167" s="33">
        <v>1350000</v>
      </c>
      <c r="I167" s="33">
        <v>1350000</v>
      </c>
      <c r="J167" s="15">
        <f t="shared" si="13"/>
        <v>6727640</v>
      </c>
    </row>
    <row r="168" spans="1:10" ht="54" customHeight="1">
      <c r="A168" s="64">
        <v>6</v>
      </c>
      <c r="B168" s="61" t="s">
        <v>337</v>
      </c>
      <c r="C168" s="60" t="s">
        <v>320</v>
      </c>
      <c r="D168" s="4" t="s">
        <v>75</v>
      </c>
      <c r="E168" s="33">
        <v>2399566</v>
      </c>
      <c r="F168" s="33">
        <v>2399566</v>
      </c>
      <c r="G168" s="33">
        <v>2500000</v>
      </c>
      <c r="H168" s="33">
        <v>2500000</v>
      </c>
      <c r="I168" s="33">
        <v>2500000</v>
      </c>
      <c r="J168" s="15">
        <f t="shared" si="13"/>
        <v>12299132</v>
      </c>
    </row>
    <row r="169" spans="1:10" ht="54" customHeight="1">
      <c r="A169" s="64">
        <v>6</v>
      </c>
      <c r="B169" s="61" t="s">
        <v>337</v>
      </c>
      <c r="C169" s="60" t="s">
        <v>150</v>
      </c>
      <c r="D169" s="4" t="s">
        <v>75</v>
      </c>
      <c r="E169" s="33">
        <v>185160</v>
      </c>
      <c r="F169" s="33">
        <v>185160</v>
      </c>
      <c r="G169" s="33">
        <v>150000</v>
      </c>
      <c r="H169" s="33">
        <v>150000</v>
      </c>
      <c r="I169" s="33">
        <v>150000</v>
      </c>
      <c r="J169" s="15">
        <f t="shared" si="13"/>
        <v>820320</v>
      </c>
    </row>
    <row r="170" spans="1:10" ht="54" customHeight="1">
      <c r="A170" s="64">
        <v>6</v>
      </c>
      <c r="B170" s="61" t="s">
        <v>337</v>
      </c>
      <c r="C170" s="60" t="s">
        <v>151</v>
      </c>
      <c r="D170" s="4" t="s">
        <v>75</v>
      </c>
      <c r="E170" s="33">
        <v>100940</v>
      </c>
      <c r="F170" s="33">
        <v>100940</v>
      </c>
      <c r="G170" s="33">
        <v>100000</v>
      </c>
      <c r="H170" s="33">
        <v>100000</v>
      </c>
      <c r="I170" s="33">
        <v>100000</v>
      </c>
      <c r="J170" s="15">
        <f t="shared" si="13"/>
        <v>501880</v>
      </c>
    </row>
    <row r="171" spans="1:10" ht="54" customHeight="1">
      <c r="A171" s="64">
        <v>6</v>
      </c>
      <c r="B171" s="61" t="s">
        <v>337</v>
      </c>
      <c r="C171" s="46" t="s">
        <v>103</v>
      </c>
      <c r="D171" s="4" t="s">
        <v>97</v>
      </c>
      <c r="E171" s="52">
        <v>7144000</v>
      </c>
      <c r="F171" s="53">
        <v>7572700</v>
      </c>
      <c r="G171" s="53">
        <v>8027100</v>
      </c>
      <c r="H171" s="53">
        <v>8508800</v>
      </c>
      <c r="I171" s="53">
        <v>9019400</v>
      </c>
      <c r="J171" s="15">
        <f t="shared" si="13"/>
        <v>40272000</v>
      </c>
    </row>
    <row r="172" spans="1:10" ht="54" customHeight="1">
      <c r="A172" s="64">
        <v>6</v>
      </c>
      <c r="B172" s="61" t="s">
        <v>337</v>
      </c>
      <c r="C172" s="46" t="s">
        <v>104</v>
      </c>
      <c r="D172" s="4" t="s">
        <v>97</v>
      </c>
      <c r="E172" s="54">
        <v>2226000</v>
      </c>
      <c r="F172" s="53">
        <f>ROUND(6/100*E172+E172,-2)</f>
        <v>2359600</v>
      </c>
      <c r="G172" s="53">
        <v>2501200</v>
      </c>
      <c r="H172" s="53">
        <v>2651300</v>
      </c>
      <c r="I172" s="53">
        <v>2810400</v>
      </c>
      <c r="J172" s="15">
        <f t="shared" si="13"/>
        <v>12548500</v>
      </c>
    </row>
    <row r="173" spans="1:10" ht="54" customHeight="1">
      <c r="A173" s="64">
        <v>6</v>
      </c>
      <c r="B173" s="61" t="s">
        <v>337</v>
      </c>
      <c r="C173" s="46" t="s">
        <v>105</v>
      </c>
      <c r="D173" s="4" t="s">
        <v>97</v>
      </c>
      <c r="E173" s="52">
        <v>469000</v>
      </c>
      <c r="F173" s="53">
        <f>ROUND(5/100*E173+E173,-2)</f>
        <v>492500</v>
      </c>
      <c r="G173" s="53">
        <v>517100</v>
      </c>
      <c r="H173" s="53">
        <v>543000</v>
      </c>
      <c r="I173" s="53">
        <v>570200</v>
      </c>
      <c r="J173" s="15">
        <f t="shared" si="13"/>
        <v>2591800</v>
      </c>
    </row>
    <row r="174" spans="1:10" ht="54" customHeight="1">
      <c r="A174" s="64">
        <v>6</v>
      </c>
      <c r="B174" s="61" t="s">
        <v>337</v>
      </c>
      <c r="C174" s="27" t="s">
        <v>108</v>
      </c>
      <c r="D174" s="4" t="s">
        <v>97</v>
      </c>
      <c r="E174" s="52">
        <f>1912270+30</f>
        <v>1912300</v>
      </c>
      <c r="F174" s="53">
        <v>2007900</v>
      </c>
      <c r="G174" s="53">
        <v>2108300</v>
      </c>
      <c r="H174" s="53">
        <v>2213800</v>
      </c>
      <c r="I174" s="53">
        <v>2324500</v>
      </c>
      <c r="J174" s="15">
        <f t="shared" si="13"/>
        <v>10566800</v>
      </c>
    </row>
    <row r="175" spans="1:10" ht="54" customHeight="1">
      <c r="A175" s="64">
        <v>6</v>
      </c>
      <c r="B175" s="61" t="s">
        <v>337</v>
      </c>
      <c r="C175" s="47" t="s">
        <v>109</v>
      </c>
      <c r="D175" s="4" t="s">
        <v>97</v>
      </c>
      <c r="E175" s="52">
        <v>200000</v>
      </c>
      <c r="F175" s="53">
        <v>210000</v>
      </c>
      <c r="G175" s="53">
        <v>220500</v>
      </c>
      <c r="H175" s="53">
        <f>231525-25</f>
        <v>231500</v>
      </c>
      <c r="I175" s="53">
        <f>243101.25-1.25</f>
        <v>243100</v>
      </c>
      <c r="J175" s="15">
        <f t="shared" si="13"/>
        <v>1105100</v>
      </c>
    </row>
    <row r="176" spans="1:10" ht="54" customHeight="1">
      <c r="A176" s="64">
        <v>6</v>
      </c>
      <c r="B176" s="61" t="s">
        <v>337</v>
      </c>
      <c r="C176" s="61" t="s">
        <v>331</v>
      </c>
      <c r="D176" s="4" t="s">
        <v>21</v>
      </c>
      <c r="E176" s="52">
        <v>640000</v>
      </c>
      <c r="F176" s="52">
        <v>640000</v>
      </c>
      <c r="G176" s="52">
        <v>640000</v>
      </c>
      <c r="H176" s="52">
        <v>640000</v>
      </c>
      <c r="I176" s="52">
        <v>640000</v>
      </c>
      <c r="J176" s="15">
        <f t="shared" si="13"/>
        <v>3200000</v>
      </c>
    </row>
    <row r="177" spans="1:10" ht="54" customHeight="1">
      <c r="A177" s="64">
        <v>6</v>
      </c>
      <c r="B177" s="61" t="s">
        <v>337</v>
      </c>
      <c r="C177" s="27" t="s">
        <v>344</v>
      </c>
      <c r="D177" s="4" t="s">
        <v>14</v>
      </c>
      <c r="E177" s="52">
        <v>4957500</v>
      </c>
      <c r="F177" s="53">
        <v>5000000</v>
      </c>
      <c r="G177" s="53">
        <v>5500000</v>
      </c>
      <c r="H177" s="53">
        <v>6000000</v>
      </c>
      <c r="I177" s="53">
        <v>6500000</v>
      </c>
      <c r="J177" s="15">
        <f t="shared" si="13"/>
        <v>27957500</v>
      </c>
    </row>
    <row r="178" spans="1:10" ht="54" customHeight="1">
      <c r="A178" s="64">
        <v>6</v>
      </c>
      <c r="B178" s="61" t="s">
        <v>337</v>
      </c>
      <c r="C178" s="27" t="s">
        <v>345</v>
      </c>
      <c r="D178" s="4" t="s">
        <v>14</v>
      </c>
      <c r="E178" s="52">
        <v>118000</v>
      </c>
      <c r="F178" s="53">
        <v>120000</v>
      </c>
      <c r="G178" s="53">
        <v>150000</v>
      </c>
      <c r="H178" s="53">
        <v>200000</v>
      </c>
      <c r="I178" s="53">
        <v>250000</v>
      </c>
      <c r="J178" s="15">
        <f t="shared" si="13"/>
        <v>838000</v>
      </c>
    </row>
    <row r="179" spans="1:10" ht="54" customHeight="1">
      <c r="A179" s="64">
        <v>6</v>
      </c>
      <c r="B179" s="61" t="s">
        <v>337</v>
      </c>
      <c r="C179" s="27" t="s">
        <v>346</v>
      </c>
      <c r="D179" s="4" t="s">
        <v>14</v>
      </c>
      <c r="E179" s="52">
        <v>95000</v>
      </c>
      <c r="F179" s="53">
        <v>150000</v>
      </c>
      <c r="G179" s="53">
        <v>170000</v>
      </c>
      <c r="H179" s="53">
        <v>200000</v>
      </c>
      <c r="I179" s="53">
        <v>220000</v>
      </c>
      <c r="J179" s="15">
        <f t="shared" si="13"/>
        <v>835000</v>
      </c>
    </row>
    <row r="180" spans="1:10" ht="46.5" customHeight="1">
      <c r="A180" s="64">
        <v>6</v>
      </c>
      <c r="B180" s="61" t="s">
        <v>19</v>
      </c>
      <c r="C180" s="30" t="s">
        <v>45</v>
      </c>
      <c r="D180" s="4" t="s">
        <v>250</v>
      </c>
      <c r="E180" s="15">
        <v>1500000</v>
      </c>
      <c r="F180" s="15">
        <v>1500000</v>
      </c>
      <c r="G180" s="15">
        <v>1500000</v>
      </c>
      <c r="H180" s="15">
        <v>1500000</v>
      </c>
      <c r="I180" s="15">
        <v>1500000</v>
      </c>
      <c r="J180" s="15">
        <f t="shared" si="13"/>
        <v>7500000</v>
      </c>
    </row>
    <row r="181" spans="1:10" ht="46.5" customHeight="1">
      <c r="A181" s="64">
        <v>6</v>
      </c>
      <c r="B181" s="61" t="s">
        <v>19</v>
      </c>
      <c r="C181" s="30" t="s">
        <v>47</v>
      </c>
      <c r="D181" s="4" t="s">
        <v>250</v>
      </c>
      <c r="E181" s="15">
        <v>100000</v>
      </c>
      <c r="F181" s="15">
        <v>200000</v>
      </c>
      <c r="G181" s="15">
        <v>300000</v>
      </c>
      <c r="H181" s="15">
        <v>400000</v>
      </c>
      <c r="I181" s="15">
        <v>500000</v>
      </c>
      <c r="J181" s="15">
        <f t="shared" si="13"/>
        <v>1500000</v>
      </c>
    </row>
    <row r="182" spans="1:10" ht="46.5" customHeight="1">
      <c r="A182" s="64">
        <v>6</v>
      </c>
      <c r="B182" s="61" t="s">
        <v>19</v>
      </c>
      <c r="C182" s="61" t="s">
        <v>256</v>
      </c>
      <c r="D182" s="4" t="s">
        <v>79</v>
      </c>
      <c r="E182" s="15">
        <v>169300</v>
      </c>
      <c r="F182" s="15">
        <f>ROUND(E182*5%+E182,-2)</f>
        <v>177800</v>
      </c>
      <c r="G182" s="15">
        <f t="shared" ref="G182:I182" si="18">ROUND(F182*5%+F182,-2)</f>
        <v>186700</v>
      </c>
      <c r="H182" s="15">
        <f t="shared" si="18"/>
        <v>196000</v>
      </c>
      <c r="I182" s="15">
        <f t="shared" si="18"/>
        <v>205800</v>
      </c>
      <c r="J182" s="15">
        <f t="shared" si="13"/>
        <v>935600</v>
      </c>
    </row>
    <row r="183" spans="1:10" ht="46.5" customHeight="1">
      <c r="A183" s="64">
        <v>6</v>
      </c>
      <c r="B183" s="61" t="s">
        <v>19</v>
      </c>
      <c r="C183" s="36" t="s">
        <v>152</v>
      </c>
      <c r="D183" s="4" t="s">
        <v>110</v>
      </c>
      <c r="E183" s="15">
        <v>200000</v>
      </c>
      <c r="F183" s="15">
        <v>200000</v>
      </c>
      <c r="G183" s="15">
        <v>300000</v>
      </c>
      <c r="H183" s="15">
        <v>300000</v>
      </c>
      <c r="I183" s="15">
        <v>300000</v>
      </c>
      <c r="J183" s="15">
        <f t="shared" si="13"/>
        <v>1300000</v>
      </c>
    </row>
    <row r="184" spans="1:10" ht="46.5" customHeight="1">
      <c r="A184" s="64">
        <v>6</v>
      </c>
      <c r="B184" s="61" t="s">
        <v>19</v>
      </c>
      <c r="C184" s="36" t="s">
        <v>19</v>
      </c>
      <c r="D184" s="4" t="s">
        <v>50</v>
      </c>
      <c r="E184" s="15">
        <v>0</v>
      </c>
      <c r="F184" s="15">
        <v>40000</v>
      </c>
      <c r="G184" s="15">
        <v>0</v>
      </c>
      <c r="H184" s="15">
        <v>0</v>
      </c>
      <c r="I184" s="15">
        <v>0</v>
      </c>
      <c r="J184" s="15">
        <f t="shared" si="13"/>
        <v>40000</v>
      </c>
    </row>
    <row r="185" spans="1:10" ht="46.5" customHeight="1">
      <c r="A185" s="64">
        <v>6</v>
      </c>
      <c r="B185" s="61" t="s">
        <v>19</v>
      </c>
      <c r="C185" s="36" t="s">
        <v>92</v>
      </c>
      <c r="D185" s="4" t="s">
        <v>123</v>
      </c>
      <c r="E185" s="15">
        <v>100000</v>
      </c>
      <c r="F185" s="15">
        <v>100000</v>
      </c>
      <c r="G185" s="15">
        <v>100000</v>
      </c>
      <c r="H185" s="15">
        <v>100000</v>
      </c>
      <c r="I185" s="15">
        <v>100000</v>
      </c>
      <c r="J185" s="15">
        <f t="shared" si="13"/>
        <v>500000</v>
      </c>
    </row>
    <row r="186" spans="1:10" ht="46.5" customHeight="1">
      <c r="A186" s="64">
        <v>6</v>
      </c>
      <c r="B186" s="61" t="s">
        <v>19</v>
      </c>
      <c r="C186" s="46" t="s">
        <v>154</v>
      </c>
      <c r="D186" s="4" t="s">
        <v>75</v>
      </c>
      <c r="E186" s="15">
        <v>116400</v>
      </c>
      <c r="F186" s="15">
        <v>116400</v>
      </c>
      <c r="G186" s="15">
        <v>100000</v>
      </c>
      <c r="H186" s="15">
        <v>100000</v>
      </c>
      <c r="I186" s="15">
        <v>100000</v>
      </c>
      <c r="J186" s="15">
        <f t="shared" si="13"/>
        <v>532800</v>
      </c>
    </row>
    <row r="187" spans="1:10" ht="46.5" customHeight="1">
      <c r="A187" s="64">
        <v>6</v>
      </c>
      <c r="B187" s="61" t="s">
        <v>19</v>
      </c>
      <c r="C187" s="27" t="s">
        <v>155</v>
      </c>
      <c r="D187" s="4" t="s">
        <v>75</v>
      </c>
      <c r="E187" s="15">
        <v>200000</v>
      </c>
      <c r="F187" s="15">
        <v>200000</v>
      </c>
      <c r="G187" s="15">
        <v>230000</v>
      </c>
      <c r="H187" s="15">
        <v>230000</v>
      </c>
      <c r="I187" s="15">
        <v>230000</v>
      </c>
      <c r="J187" s="15">
        <f t="shared" si="13"/>
        <v>1090000</v>
      </c>
    </row>
    <row r="188" spans="1:10" ht="46.5" customHeight="1">
      <c r="A188" s="64">
        <v>6</v>
      </c>
      <c r="B188" s="61" t="s">
        <v>19</v>
      </c>
      <c r="C188" s="27" t="s">
        <v>156</v>
      </c>
      <c r="D188" s="4" t="s">
        <v>75</v>
      </c>
      <c r="E188" s="15">
        <v>35000</v>
      </c>
      <c r="F188" s="15">
        <v>35000</v>
      </c>
      <c r="G188" s="15">
        <v>35000</v>
      </c>
      <c r="H188" s="15">
        <v>35000</v>
      </c>
      <c r="I188" s="15">
        <v>35000</v>
      </c>
      <c r="J188" s="15">
        <f t="shared" si="13"/>
        <v>175000</v>
      </c>
    </row>
    <row r="189" spans="1:10" ht="46.5" customHeight="1">
      <c r="A189" s="64">
        <v>6</v>
      </c>
      <c r="B189" s="61" t="s">
        <v>19</v>
      </c>
      <c r="C189" s="36" t="s">
        <v>153</v>
      </c>
      <c r="D189" s="4" t="s">
        <v>75</v>
      </c>
      <c r="E189" s="15">
        <v>165700</v>
      </c>
      <c r="F189" s="15">
        <v>165700</v>
      </c>
      <c r="G189" s="15">
        <v>200000</v>
      </c>
      <c r="H189" s="15">
        <v>200000</v>
      </c>
      <c r="I189" s="15">
        <v>200000</v>
      </c>
      <c r="J189" s="15">
        <f t="shared" si="13"/>
        <v>931400</v>
      </c>
    </row>
    <row r="190" spans="1:10" ht="46.5" customHeight="1">
      <c r="A190" s="64">
        <v>6</v>
      </c>
      <c r="B190" s="61" t="s">
        <v>19</v>
      </c>
      <c r="C190" s="36" t="s">
        <v>318</v>
      </c>
      <c r="D190" s="4" t="s">
        <v>75</v>
      </c>
      <c r="E190" s="15">
        <v>5500000</v>
      </c>
      <c r="F190" s="15">
        <v>5500000</v>
      </c>
      <c r="G190" s="15">
        <v>5500000</v>
      </c>
      <c r="H190" s="15">
        <v>5500000</v>
      </c>
      <c r="I190" s="15">
        <v>5500000</v>
      </c>
      <c r="J190" s="15">
        <f t="shared" si="13"/>
        <v>27500000</v>
      </c>
    </row>
    <row r="191" spans="1:10" ht="46.5" customHeight="1">
      <c r="A191" s="64">
        <v>6</v>
      </c>
      <c r="B191" s="61" t="s">
        <v>19</v>
      </c>
      <c r="C191" s="36" t="s">
        <v>332</v>
      </c>
      <c r="D191" s="4" t="s">
        <v>21</v>
      </c>
      <c r="E191" s="15">
        <v>75000</v>
      </c>
      <c r="F191" s="15">
        <v>75000</v>
      </c>
      <c r="G191" s="15">
        <v>75000</v>
      </c>
      <c r="H191" s="15">
        <v>75000</v>
      </c>
      <c r="I191" s="15">
        <v>75000</v>
      </c>
      <c r="J191" s="15">
        <f t="shared" si="13"/>
        <v>375000</v>
      </c>
    </row>
    <row r="192" spans="1:10" ht="48.75" customHeight="1">
      <c r="A192" s="64">
        <v>7</v>
      </c>
      <c r="B192" s="27" t="s">
        <v>180</v>
      </c>
      <c r="C192" s="61" t="s">
        <v>286</v>
      </c>
      <c r="D192" s="4" t="s">
        <v>56</v>
      </c>
      <c r="E192" s="15">
        <v>2000000</v>
      </c>
      <c r="F192" s="15">
        <v>2000000</v>
      </c>
      <c r="G192" s="15">
        <v>2000000</v>
      </c>
      <c r="H192" s="15">
        <v>2000000</v>
      </c>
      <c r="I192" s="15">
        <v>2000000</v>
      </c>
      <c r="J192" s="15">
        <f t="shared" si="13"/>
        <v>10000000</v>
      </c>
    </row>
    <row r="193" spans="1:10" ht="48.75" customHeight="1">
      <c r="A193" s="64">
        <v>7</v>
      </c>
      <c r="B193" s="27" t="s">
        <v>180</v>
      </c>
      <c r="C193" s="61" t="s">
        <v>34</v>
      </c>
      <c r="D193" s="4" t="s">
        <v>79</v>
      </c>
      <c r="E193" s="15">
        <v>520000</v>
      </c>
      <c r="F193" s="15">
        <f>ROUND(E193*5%+E193,-2)</f>
        <v>546000</v>
      </c>
      <c r="G193" s="15">
        <f t="shared" ref="G193:I193" si="19">ROUND(F193*5%+F193,-2)</f>
        <v>573300</v>
      </c>
      <c r="H193" s="15">
        <f t="shared" si="19"/>
        <v>602000</v>
      </c>
      <c r="I193" s="15">
        <f t="shared" si="19"/>
        <v>632100</v>
      </c>
      <c r="J193" s="15">
        <f t="shared" si="13"/>
        <v>2873400</v>
      </c>
    </row>
    <row r="194" spans="1:10" ht="48.75" customHeight="1">
      <c r="A194" s="64">
        <v>7</v>
      </c>
      <c r="B194" s="27" t="s">
        <v>180</v>
      </c>
      <c r="C194" s="36" t="s">
        <v>183</v>
      </c>
      <c r="D194" s="4" t="s">
        <v>110</v>
      </c>
      <c r="E194" s="15">
        <v>605000</v>
      </c>
      <c r="F194" s="15">
        <v>700000</v>
      </c>
      <c r="G194" s="15">
        <v>700000</v>
      </c>
      <c r="H194" s="15">
        <v>800000</v>
      </c>
      <c r="I194" s="15">
        <v>800000</v>
      </c>
      <c r="J194" s="15">
        <f t="shared" si="13"/>
        <v>3605000</v>
      </c>
    </row>
    <row r="195" spans="1:10" ht="48.75" customHeight="1">
      <c r="A195" s="64">
        <v>7</v>
      </c>
      <c r="B195" s="27" t="s">
        <v>180</v>
      </c>
      <c r="C195" s="36" t="s">
        <v>184</v>
      </c>
      <c r="D195" s="4" t="s">
        <v>110</v>
      </c>
      <c r="E195" s="15">
        <v>200000</v>
      </c>
      <c r="F195" s="15">
        <v>250000</v>
      </c>
      <c r="G195" s="15">
        <v>300000</v>
      </c>
      <c r="H195" s="15">
        <v>300000</v>
      </c>
      <c r="I195" s="15">
        <v>300000</v>
      </c>
      <c r="J195" s="15">
        <f t="shared" si="13"/>
        <v>1350000</v>
      </c>
    </row>
    <row r="196" spans="1:10" ht="48.75" customHeight="1">
      <c r="A196" s="64">
        <v>7</v>
      </c>
      <c r="B196" s="27" t="s">
        <v>180</v>
      </c>
      <c r="C196" s="36" t="s">
        <v>303</v>
      </c>
      <c r="D196" s="4" t="s">
        <v>50</v>
      </c>
      <c r="E196" s="15">
        <v>204000</v>
      </c>
      <c r="F196" s="15">
        <v>224000</v>
      </c>
      <c r="G196" s="15">
        <v>246000</v>
      </c>
      <c r="H196" s="15">
        <v>271500</v>
      </c>
      <c r="I196" s="15">
        <v>298600</v>
      </c>
      <c r="J196" s="15">
        <f t="shared" si="13"/>
        <v>1244100</v>
      </c>
    </row>
    <row r="197" spans="1:10" ht="48.75" customHeight="1">
      <c r="A197" s="64">
        <v>7</v>
      </c>
      <c r="B197" s="27" t="s">
        <v>180</v>
      </c>
      <c r="C197" s="36" t="s">
        <v>303</v>
      </c>
      <c r="D197" s="4" t="s">
        <v>76</v>
      </c>
      <c r="E197" s="15">
        <v>669400</v>
      </c>
      <c r="F197" s="15">
        <f>ROUND(736340,-2)</f>
        <v>736300</v>
      </c>
      <c r="G197" s="15">
        <f>ROUND(809974,-2)</f>
        <v>810000</v>
      </c>
      <c r="H197" s="15">
        <f>ROUND(890971.4,-2)</f>
        <v>891000</v>
      </c>
      <c r="I197" s="15">
        <f>ROUND(980068.54,-2)</f>
        <v>980100</v>
      </c>
      <c r="J197" s="15">
        <f t="shared" si="13"/>
        <v>4086800</v>
      </c>
    </row>
    <row r="198" spans="1:10" ht="48.75" customHeight="1">
      <c r="A198" s="64">
        <v>7</v>
      </c>
      <c r="B198" s="27" t="s">
        <v>180</v>
      </c>
      <c r="C198" s="36" t="s">
        <v>313</v>
      </c>
      <c r="D198" s="4" t="s">
        <v>94</v>
      </c>
      <c r="E198" s="15">
        <v>23000000</v>
      </c>
      <c r="F198" s="15">
        <v>24500000</v>
      </c>
      <c r="G198" s="15">
        <v>26000000</v>
      </c>
      <c r="H198" s="15">
        <v>27500000</v>
      </c>
      <c r="I198" s="15">
        <v>29000000</v>
      </c>
      <c r="J198" s="15">
        <f t="shared" ref="J198:J220" si="20">SUM(E198:I198)</f>
        <v>130000000</v>
      </c>
    </row>
    <row r="199" spans="1:10" ht="48.75" customHeight="1">
      <c r="A199" s="64">
        <v>7</v>
      </c>
      <c r="B199" s="27" t="s">
        <v>180</v>
      </c>
      <c r="C199" s="36" t="s">
        <v>321</v>
      </c>
      <c r="D199" s="4" t="s">
        <v>75</v>
      </c>
      <c r="E199" s="48">
        <v>170000</v>
      </c>
      <c r="F199" s="48">
        <v>170000</v>
      </c>
      <c r="G199" s="48">
        <v>170000</v>
      </c>
      <c r="H199" s="48">
        <v>170000</v>
      </c>
      <c r="I199" s="48">
        <v>170000</v>
      </c>
      <c r="J199" s="15">
        <f t="shared" si="20"/>
        <v>850000</v>
      </c>
    </row>
    <row r="200" spans="1:10" ht="48.75" customHeight="1">
      <c r="A200" s="64">
        <v>7</v>
      </c>
      <c r="B200" s="27" t="s">
        <v>180</v>
      </c>
      <c r="C200" s="36" t="s">
        <v>323</v>
      </c>
      <c r="D200" s="4" t="s">
        <v>97</v>
      </c>
      <c r="E200" s="48">
        <v>551200</v>
      </c>
      <c r="F200" s="48">
        <v>578800</v>
      </c>
      <c r="G200" s="48">
        <v>607800</v>
      </c>
      <c r="H200" s="48">
        <v>638200</v>
      </c>
      <c r="I200" s="48">
        <v>670200</v>
      </c>
      <c r="J200" s="15">
        <f t="shared" si="20"/>
        <v>3046200</v>
      </c>
    </row>
    <row r="201" spans="1:10" ht="48.75" customHeight="1">
      <c r="A201" s="64">
        <v>7</v>
      </c>
      <c r="B201" s="27" t="s">
        <v>180</v>
      </c>
      <c r="C201" s="36" t="s">
        <v>333</v>
      </c>
      <c r="D201" s="4" t="s">
        <v>21</v>
      </c>
      <c r="E201" s="48">
        <v>2864000</v>
      </c>
      <c r="F201" s="48">
        <v>2864000</v>
      </c>
      <c r="G201" s="48">
        <v>2864000</v>
      </c>
      <c r="H201" s="48">
        <v>2864000</v>
      </c>
      <c r="I201" s="48">
        <v>2864000</v>
      </c>
      <c r="J201" s="15">
        <f t="shared" si="20"/>
        <v>14320000</v>
      </c>
    </row>
    <row r="202" spans="1:10" ht="48.75" customHeight="1">
      <c r="A202" s="64">
        <v>7</v>
      </c>
      <c r="B202" s="27" t="s">
        <v>180</v>
      </c>
      <c r="C202" s="36" t="s">
        <v>349</v>
      </c>
      <c r="D202" s="73" t="s">
        <v>14</v>
      </c>
      <c r="E202" s="77">
        <v>0</v>
      </c>
      <c r="F202" s="76">
        <v>30000</v>
      </c>
      <c r="G202" s="76">
        <v>30000</v>
      </c>
      <c r="H202" s="76">
        <v>30000</v>
      </c>
      <c r="I202" s="76">
        <v>30000</v>
      </c>
      <c r="J202" s="15">
        <f t="shared" si="20"/>
        <v>120000</v>
      </c>
    </row>
    <row r="203" spans="1:10" ht="48.75" customHeight="1">
      <c r="A203" s="64">
        <v>7</v>
      </c>
      <c r="B203" s="27" t="s">
        <v>180</v>
      </c>
      <c r="C203" s="36" t="s">
        <v>350</v>
      </c>
      <c r="D203" s="73" t="s">
        <v>14</v>
      </c>
      <c r="E203" s="77">
        <v>0</v>
      </c>
      <c r="F203" s="76">
        <v>50000</v>
      </c>
      <c r="G203" s="76">
        <v>50000</v>
      </c>
      <c r="H203" s="76">
        <v>50000</v>
      </c>
      <c r="I203" s="76">
        <v>50000</v>
      </c>
      <c r="J203" s="15">
        <f t="shared" si="20"/>
        <v>200000</v>
      </c>
    </row>
    <row r="204" spans="1:10" ht="48.75" customHeight="1">
      <c r="A204" s="64">
        <v>7</v>
      </c>
      <c r="B204" s="27" t="s">
        <v>180</v>
      </c>
      <c r="C204" s="36" t="s">
        <v>351</v>
      </c>
      <c r="D204" s="73" t="s">
        <v>14</v>
      </c>
      <c r="E204" s="77">
        <v>0</v>
      </c>
      <c r="F204" s="76">
        <v>30000</v>
      </c>
      <c r="G204" s="76">
        <v>30000</v>
      </c>
      <c r="H204" s="76">
        <v>30000</v>
      </c>
      <c r="I204" s="76">
        <v>30000</v>
      </c>
      <c r="J204" s="15">
        <f t="shared" si="20"/>
        <v>120000</v>
      </c>
    </row>
    <row r="205" spans="1:10" ht="44.25" customHeight="1">
      <c r="A205" s="64">
        <v>7</v>
      </c>
      <c r="B205" s="27" t="s">
        <v>20</v>
      </c>
      <c r="C205" s="30" t="s">
        <v>46</v>
      </c>
      <c r="D205" s="4" t="s">
        <v>250</v>
      </c>
      <c r="E205" s="19">
        <v>100000</v>
      </c>
      <c r="F205" s="19">
        <v>200000</v>
      </c>
      <c r="G205" s="19">
        <v>300000</v>
      </c>
      <c r="H205" s="19">
        <v>400000</v>
      </c>
      <c r="I205" s="19">
        <v>500000</v>
      </c>
      <c r="J205" s="15">
        <f t="shared" si="20"/>
        <v>1500000</v>
      </c>
    </row>
    <row r="206" spans="1:10" ht="44.25" customHeight="1">
      <c r="A206" s="64">
        <v>7</v>
      </c>
      <c r="B206" s="27" t="s">
        <v>20</v>
      </c>
      <c r="C206" s="30" t="s">
        <v>304</v>
      </c>
      <c r="D206" s="4" t="s">
        <v>50</v>
      </c>
      <c r="E206" s="15">
        <v>14500</v>
      </c>
      <c r="F206" s="15">
        <v>10000</v>
      </c>
      <c r="G206" s="15">
        <v>10000</v>
      </c>
      <c r="H206" s="15">
        <v>10000</v>
      </c>
      <c r="I206" s="15">
        <v>10000</v>
      </c>
      <c r="J206" s="15">
        <f t="shared" si="20"/>
        <v>54500</v>
      </c>
    </row>
    <row r="207" spans="1:10" ht="44.25" customHeight="1">
      <c r="A207" s="64">
        <v>7</v>
      </c>
      <c r="B207" s="27" t="s">
        <v>20</v>
      </c>
      <c r="C207" s="30" t="s">
        <v>305</v>
      </c>
      <c r="D207" s="4" t="s">
        <v>50</v>
      </c>
      <c r="E207" s="15">
        <v>500</v>
      </c>
      <c r="F207" s="15">
        <v>2000</v>
      </c>
      <c r="G207" s="15">
        <v>2000</v>
      </c>
      <c r="H207" s="15">
        <v>2000</v>
      </c>
      <c r="I207" s="15">
        <v>2000</v>
      </c>
      <c r="J207" s="15">
        <f t="shared" si="20"/>
        <v>8500</v>
      </c>
    </row>
    <row r="208" spans="1:10" ht="44.25" customHeight="1">
      <c r="A208" s="64">
        <v>7</v>
      </c>
      <c r="B208" s="27" t="s">
        <v>20</v>
      </c>
      <c r="C208" s="30" t="s">
        <v>46</v>
      </c>
      <c r="D208" s="4" t="s">
        <v>123</v>
      </c>
      <c r="E208" s="15">
        <v>1000000</v>
      </c>
      <c r="F208" s="15">
        <v>1000000</v>
      </c>
      <c r="G208" s="15">
        <v>1000000</v>
      </c>
      <c r="H208" s="15">
        <v>1000000</v>
      </c>
      <c r="I208" s="15">
        <v>1000000</v>
      </c>
      <c r="J208" s="15">
        <f t="shared" si="20"/>
        <v>5000000</v>
      </c>
    </row>
    <row r="209" spans="1:10" ht="44.25" customHeight="1">
      <c r="A209" s="64">
        <v>7</v>
      </c>
      <c r="B209" s="27" t="s">
        <v>20</v>
      </c>
      <c r="C209" s="30" t="s">
        <v>93</v>
      </c>
      <c r="D209" s="4" t="s">
        <v>123</v>
      </c>
      <c r="E209" s="15">
        <v>20000</v>
      </c>
      <c r="F209" s="15">
        <v>20000</v>
      </c>
      <c r="G209" s="15">
        <v>20000</v>
      </c>
      <c r="H209" s="15">
        <v>20000</v>
      </c>
      <c r="I209" s="15">
        <v>20000</v>
      </c>
      <c r="J209" s="15">
        <f t="shared" si="20"/>
        <v>100000</v>
      </c>
    </row>
    <row r="210" spans="1:10" ht="44.25" customHeight="1">
      <c r="A210" s="64">
        <v>7</v>
      </c>
      <c r="B210" s="27" t="s">
        <v>20</v>
      </c>
      <c r="C210" s="27" t="s">
        <v>157</v>
      </c>
      <c r="D210" s="4" t="s">
        <v>75</v>
      </c>
      <c r="E210" s="15">
        <v>459764</v>
      </c>
      <c r="F210" s="15">
        <v>459764</v>
      </c>
      <c r="G210" s="15">
        <v>500000</v>
      </c>
      <c r="H210" s="15">
        <v>500000</v>
      </c>
      <c r="I210" s="15">
        <v>500000</v>
      </c>
      <c r="J210" s="15">
        <f t="shared" si="20"/>
        <v>2419528</v>
      </c>
    </row>
    <row r="211" spans="1:10" ht="87" customHeight="1">
      <c r="A211" s="64">
        <v>7</v>
      </c>
      <c r="B211" s="27" t="s">
        <v>20</v>
      </c>
      <c r="C211" s="27" t="s">
        <v>158</v>
      </c>
      <c r="D211" s="4" t="s">
        <v>75</v>
      </c>
      <c r="E211" s="15">
        <v>2020750</v>
      </c>
      <c r="F211" s="15">
        <v>2020750</v>
      </c>
      <c r="G211" s="15">
        <v>2000000</v>
      </c>
      <c r="H211" s="15">
        <v>2000000</v>
      </c>
      <c r="I211" s="15">
        <v>2000000</v>
      </c>
      <c r="J211" s="15">
        <f t="shared" si="20"/>
        <v>10041500</v>
      </c>
    </row>
    <row r="212" spans="1:10" ht="87" customHeight="1">
      <c r="A212" s="64">
        <v>7</v>
      </c>
      <c r="B212" s="27" t="s">
        <v>20</v>
      </c>
      <c r="C212" s="27" t="s">
        <v>334</v>
      </c>
      <c r="D212" s="4" t="s">
        <v>21</v>
      </c>
      <c r="E212" s="15">
        <v>9501000</v>
      </c>
      <c r="F212" s="15">
        <v>9501000</v>
      </c>
      <c r="G212" s="15">
        <v>9501000</v>
      </c>
      <c r="H212" s="15">
        <v>9501000</v>
      </c>
      <c r="I212" s="15">
        <v>9501000</v>
      </c>
      <c r="J212" s="15">
        <f t="shared" si="20"/>
        <v>47505000</v>
      </c>
    </row>
    <row r="213" spans="1:10" ht="44.25" customHeight="1">
      <c r="A213" s="64">
        <v>7</v>
      </c>
      <c r="B213" s="27" t="s">
        <v>20</v>
      </c>
      <c r="C213" s="27" t="s">
        <v>102</v>
      </c>
      <c r="D213" s="4" t="s">
        <v>97</v>
      </c>
      <c r="E213" s="15">
        <v>4223000</v>
      </c>
      <c r="F213" s="15">
        <v>4435000</v>
      </c>
      <c r="G213" s="15">
        <v>4656750</v>
      </c>
      <c r="H213" s="15">
        <v>4889600</v>
      </c>
      <c r="I213" s="15">
        <v>5134100</v>
      </c>
      <c r="J213" s="15">
        <f t="shared" si="20"/>
        <v>23338450</v>
      </c>
    </row>
    <row r="214" spans="1:10" ht="24">
      <c r="A214" s="64">
        <v>7</v>
      </c>
      <c r="B214" s="27" t="s">
        <v>338</v>
      </c>
      <c r="C214" s="61" t="s">
        <v>159</v>
      </c>
      <c r="D214" s="4" t="s">
        <v>79</v>
      </c>
      <c r="E214" s="15">
        <v>10000</v>
      </c>
      <c r="F214" s="15">
        <f>ROUND(E214*5%+E214,-2)</f>
        <v>10500</v>
      </c>
      <c r="G214" s="15">
        <f t="shared" ref="G214:I214" si="21">ROUND(F214*5%+F214,-2)</f>
        <v>11000</v>
      </c>
      <c r="H214" s="15">
        <f t="shared" si="21"/>
        <v>11600</v>
      </c>
      <c r="I214" s="15">
        <f t="shared" si="21"/>
        <v>12200</v>
      </c>
      <c r="J214" s="15">
        <f t="shared" si="20"/>
        <v>55300</v>
      </c>
    </row>
    <row r="215" spans="1:10" ht="24">
      <c r="A215" s="64">
        <v>7</v>
      </c>
      <c r="B215" s="27" t="s">
        <v>338</v>
      </c>
      <c r="C215" s="33" t="s">
        <v>159</v>
      </c>
      <c r="D215" s="4" t="s">
        <v>110</v>
      </c>
      <c r="E215" s="15">
        <v>20000</v>
      </c>
      <c r="F215" s="15">
        <v>20000</v>
      </c>
      <c r="G215" s="15">
        <v>20000</v>
      </c>
      <c r="H215" s="15">
        <v>20000</v>
      </c>
      <c r="I215" s="15">
        <v>20000</v>
      </c>
      <c r="J215" s="15">
        <f t="shared" si="20"/>
        <v>100000</v>
      </c>
    </row>
    <row r="216" spans="1:10" ht="72">
      <c r="A216" s="64">
        <v>7</v>
      </c>
      <c r="B216" s="27" t="s">
        <v>338</v>
      </c>
      <c r="C216" s="60" t="s">
        <v>258</v>
      </c>
      <c r="D216" s="4" t="s">
        <v>58</v>
      </c>
      <c r="E216" s="33">
        <v>740000</v>
      </c>
      <c r="F216" s="33">
        <v>740000</v>
      </c>
      <c r="G216" s="33">
        <v>740000</v>
      </c>
      <c r="H216" s="33">
        <v>740000</v>
      </c>
      <c r="I216" s="33">
        <v>740000</v>
      </c>
      <c r="J216" s="15">
        <f t="shared" si="20"/>
        <v>3700000</v>
      </c>
    </row>
    <row r="217" spans="1:10" ht="24">
      <c r="A217" s="64">
        <v>7</v>
      </c>
      <c r="B217" s="27" t="s">
        <v>338</v>
      </c>
      <c r="C217" s="61" t="s">
        <v>159</v>
      </c>
      <c r="D217" s="4" t="s">
        <v>50</v>
      </c>
      <c r="E217" s="28">
        <v>5600</v>
      </c>
      <c r="F217" s="28">
        <v>10000</v>
      </c>
      <c r="G217" s="28">
        <v>10000</v>
      </c>
      <c r="H217" s="28">
        <v>10000</v>
      </c>
      <c r="I217" s="28">
        <v>10000</v>
      </c>
      <c r="J217" s="15">
        <f t="shared" si="20"/>
        <v>45600</v>
      </c>
    </row>
    <row r="218" spans="1:10" ht="24">
      <c r="A218" s="64">
        <v>7</v>
      </c>
      <c r="B218" s="27" t="s">
        <v>338</v>
      </c>
      <c r="C218" s="58" t="s">
        <v>23</v>
      </c>
      <c r="D218" s="17" t="s">
        <v>21</v>
      </c>
      <c r="E218" s="41">
        <v>8000</v>
      </c>
      <c r="F218" s="41">
        <v>8000</v>
      </c>
      <c r="G218" s="41">
        <v>8000</v>
      </c>
      <c r="H218" s="41">
        <v>8000</v>
      </c>
      <c r="I218" s="41">
        <v>8000</v>
      </c>
      <c r="J218" s="15">
        <f t="shared" si="20"/>
        <v>40000</v>
      </c>
    </row>
    <row r="219" spans="1:10" s="40" customFormat="1" ht="24">
      <c r="A219" s="64">
        <v>7</v>
      </c>
      <c r="B219" s="27" t="s">
        <v>338</v>
      </c>
      <c r="C219" s="28" t="s">
        <v>91</v>
      </c>
      <c r="D219" s="4" t="s">
        <v>123</v>
      </c>
      <c r="E219" s="28">
        <v>200000</v>
      </c>
      <c r="F219" s="28">
        <v>400000</v>
      </c>
      <c r="G219" s="28">
        <v>600000</v>
      </c>
      <c r="H219" s="28">
        <v>800000</v>
      </c>
      <c r="I219" s="28">
        <v>1000000</v>
      </c>
      <c r="J219" s="15">
        <f t="shared" si="20"/>
        <v>3000000</v>
      </c>
    </row>
    <row r="220" spans="1:10" s="28" customFormat="1" ht="24">
      <c r="A220" s="80">
        <v>7</v>
      </c>
      <c r="B220" s="24" t="s">
        <v>338</v>
      </c>
      <c r="C220" s="79" t="s">
        <v>159</v>
      </c>
      <c r="D220" s="81" t="s">
        <v>14</v>
      </c>
      <c r="E220" s="91">
        <v>0</v>
      </c>
      <c r="F220" s="82">
        <v>90000</v>
      </c>
      <c r="G220" s="82">
        <v>90000</v>
      </c>
      <c r="H220" s="82">
        <v>90000</v>
      </c>
      <c r="I220" s="82">
        <v>90000</v>
      </c>
      <c r="J220" s="15">
        <f t="shared" si="20"/>
        <v>360000</v>
      </c>
    </row>
    <row r="221" spans="1:10" s="28" customFormat="1" ht="24">
      <c r="A221" s="71"/>
      <c r="B221" s="40"/>
      <c r="C221" s="40"/>
      <c r="D221" s="78"/>
      <c r="E221" s="40"/>
      <c r="F221" s="40"/>
      <c r="G221" s="40"/>
      <c r="H221" s="40"/>
      <c r="I221" s="40"/>
    </row>
    <row r="222" spans="1:10" s="28" customFormat="1" ht="24">
      <c r="A222" s="65"/>
      <c r="D222" s="44"/>
    </row>
    <row r="223" spans="1:10" s="28" customFormat="1" ht="24">
      <c r="A223" s="65"/>
      <c r="D223" s="44"/>
    </row>
    <row r="224" spans="1:10" s="28" customFormat="1" ht="24">
      <c r="A224" s="65"/>
      <c r="D224" s="44"/>
    </row>
    <row r="225" spans="1:4" s="28" customFormat="1" ht="24">
      <c r="A225" s="65"/>
      <c r="D225" s="44"/>
    </row>
    <row r="226" spans="1:4" s="28" customFormat="1" ht="24">
      <c r="A226" s="65"/>
      <c r="D226" s="44"/>
    </row>
    <row r="227" spans="1:4" s="28" customFormat="1" ht="24">
      <c r="A227" s="65"/>
      <c r="D227" s="44"/>
    </row>
    <row r="228" spans="1:4" s="28" customFormat="1" ht="24">
      <c r="A228" s="65"/>
      <c r="D228" s="44"/>
    </row>
    <row r="229" spans="1:4" s="28" customFormat="1" ht="24">
      <c r="A229" s="65"/>
      <c r="D229" s="44"/>
    </row>
    <row r="230" spans="1:4" s="28" customFormat="1" ht="24">
      <c r="A230" s="65"/>
      <c r="D230" s="44"/>
    </row>
    <row r="231" spans="1:4" s="28" customFormat="1" ht="24">
      <c r="A231" s="65"/>
      <c r="D231" s="44"/>
    </row>
    <row r="232" spans="1:4" s="28" customFormat="1" ht="24">
      <c r="A232" s="65"/>
      <c r="D232" s="44"/>
    </row>
    <row r="233" spans="1:4" s="28" customFormat="1" ht="24">
      <c r="A233" s="65"/>
      <c r="D233" s="44"/>
    </row>
    <row r="234" spans="1:4" s="28" customFormat="1" ht="24">
      <c r="A234" s="65"/>
      <c r="D234" s="44"/>
    </row>
    <row r="235" spans="1:4" s="28" customFormat="1" ht="24">
      <c r="A235" s="65"/>
      <c r="D235" s="44"/>
    </row>
    <row r="236" spans="1:4" s="28" customFormat="1" ht="24">
      <c r="A236" s="65"/>
      <c r="D236" s="44"/>
    </row>
    <row r="237" spans="1:4" s="28" customFormat="1" ht="24">
      <c r="A237" s="65"/>
      <c r="D237" s="44"/>
    </row>
    <row r="238" spans="1:4" s="28" customFormat="1" ht="24">
      <c r="A238" s="65"/>
      <c r="D238" s="44"/>
    </row>
    <row r="239" spans="1:4" s="28" customFormat="1" ht="24">
      <c r="A239" s="65"/>
      <c r="D239" s="44"/>
    </row>
    <row r="240" spans="1:4" s="28" customFormat="1" ht="24">
      <c r="A240" s="65"/>
      <c r="D240" s="44"/>
    </row>
    <row r="241" spans="1:4" s="28" customFormat="1" ht="24">
      <c r="A241" s="65"/>
      <c r="D241" s="44"/>
    </row>
    <row r="242" spans="1:4" s="28" customFormat="1" ht="24">
      <c r="A242" s="65"/>
      <c r="D242" s="44"/>
    </row>
    <row r="243" spans="1:4" s="28" customFormat="1" ht="24">
      <c r="A243" s="65"/>
      <c r="D243" s="44"/>
    </row>
    <row r="244" spans="1:4" s="28" customFormat="1" ht="24">
      <c r="A244" s="65"/>
      <c r="D244" s="44"/>
    </row>
    <row r="245" spans="1:4" s="28" customFormat="1" ht="24">
      <c r="A245" s="65"/>
      <c r="D245" s="44"/>
    </row>
    <row r="246" spans="1:4" s="28" customFormat="1" ht="24">
      <c r="A246" s="65"/>
      <c r="D246" s="44"/>
    </row>
    <row r="247" spans="1:4" s="28" customFormat="1" ht="24">
      <c r="A247" s="65"/>
      <c r="D247" s="44"/>
    </row>
    <row r="248" spans="1:4" s="28" customFormat="1" ht="24">
      <c r="A248" s="65"/>
      <c r="D248" s="44"/>
    </row>
    <row r="249" spans="1:4" s="28" customFormat="1" ht="24">
      <c r="A249" s="65"/>
      <c r="D249" s="44"/>
    </row>
    <row r="250" spans="1:4" s="28" customFormat="1" ht="24">
      <c r="A250" s="65"/>
      <c r="D250" s="44"/>
    </row>
    <row r="251" spans="1:4" s="28" customFormat="1" ht="24">
      <c r="A251" s="65"/>
      <c r="D251" s="44"/>
    </row>
    <row r="252" spans="1:4" s="28" customFormat="1" ht="24">
      <c r="A252" s="65"/>
      <c r="D252" s="44"/>
    </row>
    <row r="253" spans="1:4" s="28" customFormat="1" ht="24">
      <c r="A253" s="65"/>
      <c r="D253" s="44"/>
    </row>
    <row r="254" spans="1:4" s="28" customFormat="1" ht="24">
      <c r="A254" s="65"/>
      <c r="D254" s="44"/>
    </row>
    <row r="255" spans="1:4" s="28" customFormat="1" ht="24">
      <c r="A255" s="65"/>
      <c r="D255" s="44"/>
    </row>
    <row r="256" spans="1:4" s="28" customFormat="1" ht="24">
      <c r="A256" s="65"/>
      <c r="D256" s="44"/>
    </row>
    <row r="257" spans="1:4" s="28" customFormat="1" ht="24">
      <c r="A257" s="65"/>
      <c r="D257" s="44"/>
    </row>
    <row r="258" spans="1:4" s="41" customFormat="1" ht="24">
      <c r="A258" s="66"/>
      <c r="D258" s="45"/>
    </row>
    <row r="259" spans="1:4" ht="24">
      <c r="A259" s="67"/>
    </row>
    <row r="260" spans="1:4" ht="24">
      <c r="A260" s="67"/>
    </row>
    <row r="261" spans="1:4" ht="24">
      <c r="A261" s="67"/>
    </row>
    <row r="262" spans="1:4" ht="24">
      <c r="A262" s="67"/>
    </row>
    <row r="263" spans="1:4" ht="24">
      <c r="A263" s="67"/>
    </row>
    <row r="264" spans="1:4" ht="24">
      <c r="A264" s="67"/>
    </row>
    <row r="265" spans="1:4" ht="24">
      <c r="A265" s="67"/>
    </row>
    <row r="266" spans="1:4" ht="24">
      <c r="A266" s="67"/>
    </row>
    <row r="267" spans="1:4" ht="24">
      <c r="A267" s="67"/>
    </row>
    <row r="268" spans="1:4" ht="24">
      <c r="A268" s="67"/>
    </row>
    <row r="269" spans="1:4" ht="24">
      <c r="A269" s="67"/>
    </row>
    <row r="270" spans="1:4" ht="24">
      <c r="A270" s="67"/>
    </row>
    <row r="271" spans="1:4" ht="24">
      <c r="A271" s="67"/>
    </row>
    <row r="272" spans="1:4" ht="24">
      <c r="A272" s="67"/>
    </row>
    <row r="273" spans="1:10" ht="24">
      <c r="A273" s="67"/>
    </row>
    <row r="274" spans="1:10" ht="24">
      <c r="A274" s="67"/>
    </row>
    <row r="275" spans="1:10" ht="24">
      <c r="A275" s="67"/>
    </row>
    <row r="276" spans="1:10" ht="24">
      <c r="A276" s="67"/>
    </row>
    <row r="277" spans="1:10" ht="24">
      <c r="A277" s="67"/>
    </row>
    <row r="278" spans="1:10" ht="24">
      <c r="A278" s="34" t="s">
        <v>174</v>
      </c>
    </row>
    <row r="279" spans="1:10" ht="24">
      <c r="A279" s="34" t="s">
        <v>125</v>
      </c>
    </row>
    <row r="280" spans="1:10" ht="24">
      <c r="E280" s="62">
        <f>SUBTOTAL(9,E29:E197)</f>
        <v>515240686</v>
      </c>
    </row>
    <row r="281" spans="1:10" ht="58.5" customHeight="1">
      <c r="E281" s="62">
        <f>SUBTOTAL(9,E3:E280)</f>
        <v>1571406210</v>
      </c>
      <c r="F281" s="62">
        <f t="shared" ref="F281:I281" si="22">SUBTOTAL(9,F3:F280)</f>
        <v>1801079212</v>
      </c>
      <c r="G281" s="62">
        <f t="shared" si="22"/>
        <v>1935379714</v>
      </c>
      <c r="H281" s="62">
        <f t="shared" si="22"/>
        <v>1844812316</v>
      </c>
      <c r="I281" s="62">
        <f t="shared" si="22"/>
        <v>2327372918</v>
      </c>
      <c r="J281" s="7">
        <f>SUBTOTAL(9,E281:I281)</f>
        <v>0</v>
      </c>
    </row>
  </sheetData>
  <autoFilter ref="A4:J220">
    <filterColumn colId="3"/>
  </autoFilter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4</vt:i4>
      </vt:variant>
    </vt:vector>
  </HeadingPairs>
  <TitlesOfParts>
    <vt:vector size="13" baseType="lpstr">
      <vt:lpstr>กลยุทธ์</vt:lpstr>
      <vt:lpstr>ปรับตัวชี้วัด</vt:lpstr>
      <vt:lpstr>รายละเอียดโครงการ</vt:lpstr>
      <vt:lpstr>Sheet1</vt:lpstr>
      <vt:lpstr>งบประมาณรายคณะ</vt:lpstr>
      <vt:lpstr>Sheet3</vt:lpstr>
      <vt:lpstr>งบประมาณตามโครงการหลัก</vt:lpstr>
      <vt:lpstr>ฐานข้อมูล</vt:lpstr>
      <vt:lpstr>Sheet2</vt:lpstr>
      <vt:lpstr>Sheet3!Print_Titles</vt:lpstr>
      <vt:lpstr>กลยุทธ์!Print_Titles</vt:lpstr>
      <vt:lpstr>ปรับตัวชี้วัด!Print_Titles</vt:lpstr>
      <vt:lpstr>รายละเอียดโครงการ!Print_Titles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suntron</dc:creator>
  <cp:lastModifiedBy>marut</cp:lastModifiedBy>
  <cp:lastPrinted>2014-01-27T18:53:27Z</cp:lastPrinted>
  <dcterms:created xsi:type="dcterms:W3CDTF">2011-11-08T17:45:49Z</dcterms:created>
  <dcterms:modified xsi:type="dcterms:W3CDTF">2014-06-18T04:21:35Z</dcterms:modified>
</cp:coreProperties>
</file>